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ssumptions" sheetId="1" state="visible" r:id="rId3"/>
    <sheet name="PerDeal" sheetId="2" state="visible" r:id="rId4"/>
    <sheet name="Models" sheetId="3" state="visible" r:id="rId5"/>
    <sheet name="Comps" sheetId="4" state="visible" r:id="rId6"/>
    <sheet name="Returns" sheetId="5" state="visible" r:id="rId7"/>
    <sheet name="Monthly" sheetId="6" state="visible" r:id="rId8"/>
    <sheet name="Annual" sheetId="7" state="visible" r:id="rId9"/>
    <sheet name="CapTable" sheetId="8" state="visible" r:id="rId10"/>
    <sheet name="Sensitivity" sheetId="9" state="visible" r:id="rId11"/>
    <sheet name="Valuation" sheetId="10" state="visible" r:id="rId1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<sst xmlns="http://schemas.openxmlformats.org/spreadsheetml/2006/main" count="504" uniqueCount="417">
  <si>
    <t xml:space="preserve">North Star 3-Year Proforma - Assumptions</t>
  </si>
  <si>
    <t xml:space="preserve">Blue = input you can revise. Yellow = the first ones to challenge. Everything downstream recomputes.</t>
  </si>
  <si>
    <t xml:space="preserve">Deal velocity - BASE CAPACITY CASE (what the platform can process; not an expected forecast)</t>
  </si>
  <si>
    <t xml:space="preserve">Label per management: Base Capacity = 8 starts/month at steady state. Base operating plan and downside scenarios are separate cases.</t>
  </si>
  <si>
    <t xml:space="preserve">  Months 1-3</t>
  </si>
  <si>
    <t xml:space="preserve">Program pace set by the principals</t>
  </si>
  <si>
    <t xml:space="preserve">  Months 4-6</t>
  </si>
  <si>
    <t xml:space="preserve">  Months 7-9</t>
  </si>
  <si>
    <t xml:space="preserve">  Months 10-12</t>
  </si>
  <si>
    <t xml:space="preserve">  Months 13-36 (steady)</t>
  </si>
  <si>
    <t xml:space="preserve">Population mix (per 8 starts)</t>
  </si>
  <si>
    <t xml:space="preserve">  Truck parking</t>
  </si>
  <si>
    <t xml:space="preserve">iDevelop model library, scenario 42</t>
  </si>
  <si>
    <t xml:space="preserve">  IOS yard</t>
  </si>
  <si>
    <t xml:space="preserve">scenario 43</t>
  </si>
  <si>
    <t xml:space="preserve">  Travel center</t>
  </si>
  <si>
    <t xml:space="preserve">scenario 44</t>
  </si>
  <si>
    <t xml:space="preserve">  Distribution</t>
  </si>
  <si>
    <t xml:space="preserve">Carried in the program, exited at entitlement rather than built out</t>
  </si>
  <si>
    <t xml:space="preserve">  (retired - replaced by the Exit mix table, row 44)</t>
  </si>
  <si>
    <t xml:space="preserve">Winnie I-10 example deal</t>
  </si>
  <si>
    <t xml:space="preserve">  Early-exit cycle (months)</t>
  </si>
  <si>
    <t xml:space="preserve">Exit at entitled/developed decision point</t>
  </si>
  <si>
    <t xml:space="preserve">  Share exiting early</t>
  </si>
  <si>
    <t xml:space="preserve">Set by the principals - revise</t>
  </si>
  <si>
    <t xml:space="preserve">  Early-exit capture (share of full sale gain)</t>
  </si>
  <si>
    <t xml:space="preserve">PLACEHOLDER - only undocumented value; Exit-1/2 pricing not yet modeled</t>
  </si>
  <si>
    <t xml:space="preserve">Distribution waterfall at sale (the website table, inputs below)</t>
  </si>
  <si>
    <t xml:space="preserve">  Preferred return - 8% annual, on unreturned capital</t>
  </si>
  <si>
    <t xml:space="preserve">Accrues over the hold (16% at 24 months); paid 100% to the investor after return of capital</t>
  </si>
  <si>
    <t xml:space="preserve">  Hurdle - investor total return where the split changes</t>
  </si>
  <si>
    <t xml:space="preserve">Below it the split is 70/30; above it 50/50</t>
  </si>
  <si>
    <t xml:space="preserve">  Investor share of remaining profit BELOW the hurdle</t>
  </si>
  <si>
    <t xml:space="preserve">North Star receives the rest (30%)</t>
  </si>
  <si>
    <t xml:space="preserve">  Investor share of profit ABOVE the hurdle</t>
  </si>
  <si>
    <t xml:space="preserve">North Star receives the rest (50%)</t>
  </si>
  <si>
    <t xml:space="preserve">  Broker commission at sale</t>
  </si>
  <si>
    <t xml:space="preserve">Deducted before waterfall; no separate disposition fee</t>
  </si>
  <si>
    <t xml:space="preserve">NewCo fees (Winnie I-10 example deal)</t>
  </si>
  <si>
    <t xml:space="preserve">  Origination/intelligence fee (% of capitalization)</t>
  </si>
  <si>
    <t xml:space="preserve">$25K start fee credited against it</t>
  </si>
  <si>
    <t xml:space="preserve">  Developer fee (% of hard costs)</t>
  </si>
  <si>
    <t xml:space="preserve">  Hard costs as % of capitalization</t>
  </si>
  <si>
    <t xml:space="preserve">Winnie worked example ratio</t>
  </si>
  <si>
    <t xml:space="preserve">NewCo operating cost ($/yr)</t>
  </si>
  <si>
    <t xml:space="preserve">  Year 1</t>
  </si>
  <si>
    <t xml:space="preserve">Detailed Source and Use of Funds</t>
  </si>
  <si>
    <t xml:space="preserve">  Year 2</t>
  </si>
  <si>
    <t xml:space="preserve">ASSUMPTION - revise</t>
  </si>
  <si>
    <t xml:space="preserve">  Year 3</t>
  </si>
  <si>
    <t xml:space="preserve">Target yield on cost (NOI / total cost) - guide, not a gate</t>
  </si>
  <si>
    <t xml:space="preserve">Indicative only. The gate applied per site is the development spread: yield on cost less the market exit cap, against 150-250 bp. See PerDeal columns V and W.</t>
  </si>
  <si>
    <t xml:space="preserve">The waterfall as it reads on the investor page (computed from the inputs above)</t>
  </si>
  <si>
    <t xml:space="preserve">Tier</t>
  </si>
  <si>
    <t xml:space="preserve">Investor</t>
  </si>
  <si>
    <t xml:space="preserve">North Star</t>
  </si>
  <si>
    <t xml:space="preserve">Return of capital</t>
  </si>
  <si>
    <t xml:space="preserve">Order at sale: gross proceeds, less 4% broker commission and closing costs, then this table top to bottom.</t>
  </si>
  <si>
    <t xml:space="preserve">Exit mix (the four documented decision points; same waterfall on every exit)</t>
  </si>
  <si>
    <t xml:space="preserve">Exit</t>
  </si>
  <si>
    <t xml:space="preserve">Share of deals</t>
  </si>
  <si>
    <t xml:space="preserve">Cycle (months)</t>
  </si>
  <si>
    <t xml:space="preserve">Capture of full sale gain</t>
  </si>
  <si>
    <t xml:space="preserve">Capital deployed (% of cost)</t>
  </si>
  <si>
    <t xml:space="preserve">Exit 1 - sell entitled site</t>
  </si>
  <si>
    <t xml:space="preserve">Exit 2 - sell developed / at lease-up</t>
  </si>
  <si>
    <t xml:space="preserve">Exit 3 - sell stabilized NNN</t>
  </si>
  <si>
    <t xml:space="preserve">Exit 4 - hold / refinance (no sale in window)</t>
  </si>
  <si>
    <t xml:space="preserve">  (superseded by the per-class exit mix at row 72)</t>
  </si>
  <si>
    <t xml:space="preserve">Exit 3 cycle and 100% capture are the documented Winnie deal. Exit 1/2 cycles and captures are placeholders to revise; Exit-1 capital is land plus soft costs per the worked example. Exit 4 deals collect operating income and exit after the window.</t>
  </si>
  <si>
    <t xml:space="preserve">Lease-up begins (months after start; income flows from here)</t>
  </si>
  <si>
    <t xml:space="preserve">Leased deals distribute NOI monthly, 98% to funders, until sale; Exit-4 holds keep distributing.</t>
  </si>
  <si>
    <t xml:space="preserve">Leverage (project debt, illustrative)</t>
  </si>
  <si>
    <t xml:space="preserve">  Loan-to-cost (0% = the all-equity base case)</t>
  </si>
  <si>
    <t xml:space="preserve">Levered ROI block on PerDeal; debt adds risk as well as return</t>
  </si>
  <si>
    <t xml:space="preserve">  Interest rate (annual, interest-only)</t>
  </si>
  <si>
    <t xml:space="preserve">Investigation funnel (Winnie pre-closing layer)</t>
  </si>
  <si>
    <t xml:space="preserve">  Sites investigated per start</t>
  </si>
  <si>
    <t xml:space="preserve">~33% of investigated sites advance to a start</t>
  </si>
  <si>
    <t xml:space="preserve">  Site-investigation start fee (per site)</t>
  </si>
  <si>
    <t xml:space="preserve">Documented: $25,000 start fee + $10,000/month work authorization; the start fee is credited against the origination fee when a deal closes, and kept on sites that do not advance.</t>
  </si>
  <si>
    <t xml:space="preserve">Project failure after start (management assumption)</t>
  </si>
  <si>
    <t xml:space="preserve">  Share of starts that fail to reach a successful exit</t>
  </si>
  <si>
    <t xml:space="preserve">Causes: option expires, environmental issue, entitlement denied, seller walks, financing unavailable, economics deteriorate.</t>
  </si>
  <si>
    <t xml:space="preserve">  Capital at risk on a failed deal (% of project cost)</t>
  </si>
  <si>
    <t xml:space="preserve">Diligence, option deposit, legal, survey, environmental written off. Balance not yet deployed.</t>
  </si>
  <si>
    <t xml:space="preserve">  Partial recovery on written-off capital</t>
  </si>
  <si>
    <t xml:space="preserve">Assignment of contract, resale of studies, deposit refund.</t>
  </si>
  <si>
    <t xml:space="preserve">  Months to failure</t>
  </si>
  <si>
    <t xml:space="preserve">Financial consequence of a failed deal: diligence capital written off (net of recovery), NO developer fee, NO promote. The investigation fee already earned is kept.</t>
  </si>
  <si>
    <t xml:space="preserve">Exit cap scenario:  1 = Base (market secondary caps)   2 = Upside (canonical iDevelop caps)</t>
  </si>
  <si>
    <t xml:space="preserve">Base is the defensible case: IOS and truck parking at 7.25% (secondary-market range 6.75-7.75%), travel center 7.75%, distribution 6.25%. Upside restores the canonical 5.7-6.4% caps. Per-class caps are on PerDeal column U.</t>
  </si>
  <si>
    <t xml:space="preserve">Exit mix by asset class - each column is that asset class's own exit plan and sums to 100%</t>
  </si>
  <si>
    <t xml:space="preserve">Truck parking</t>
  </si>
  <si>
    <t xml:space="preserve">IOS yard</t>
  </si>
  <si>
    <t xml:space="preserve">Travel center</t>
  </si>
  <si>
    <t xml:space="preserve">Distribution</t>
  </si>
  <si>
    <t xml:space="preserve">Exit 1 - sell entitled</t>
  </si>
  <si>
    <t xml:space="preserve">Exit 2 - sell developed</t>
  </si>
  <si>
    <t xml:space="preserve">Exit 3 - sell stabilized</t>
  </si>
  <si>
    <t xml:space="preserve">Exit 4 - hold / refinance</t>
  </si>
  <si>
    <t xml:space="preserve">Column check (each must be 100%)</t>
  </si>
  <si>
    <t xml:space="preserve">Distribution is capital-hungry to build and yields least at stabilization, so it is planned as an entitled-land sale: the value event is the entitlement, not the building. Selling at that decision point deploys land plus soft costs rather than full development cost. If a distribution site looks better built out when the time comes, that decision can be taken then - the exit is a decision point, not a commitment made in advance.</t>
  </si>
  <si>
    <t xml:space="preserve">Exit 1 gain capture by asset class (share of the modeled stabilized gain realized at the entitled sale)</t>
  </si>
  <si>
    <t xml:space="preserve">Exit 1 capture</t>
  </si>
  <si>
    <t xml:space="preserve">Distribution carries a higher capture because the entitled sale IS its value event: entitled, engineered industrial land at a freight node is what an industrial developer buys, and that price is set by land comps rather than by the building's stabilized economics. This is the assumption to validate against entitled industrial land sales in the target corridor - it is the one number in the distribution case that is not derived from the model library.</t>
  </si>
  <si>
    <t xml:space="preserve">Per-deal economics by asset class (all formulas; canonical iDevelop inputs in blue)</t>
  </si>
  <si>
    <t xml:space="preserve">Asset class</t>
  </si>
  <si>
    <t xml:space="preserve">Total cost</t>
  </si>
  <si>
    <t xml:space="preserve">NOI</t>
  </si>
  <si>
    <t xml:space="preserve">Gross exit</t>
  </si>
  <si>
    <t xml:space="preserve">NOI / cost (yield on cost)</t>
  </si>
  <si>
    <t xml:space="preserve">Sale proceeds after commission</t>
  </si>
  <si>
    <t xml:space="preserve">Net proceeds less project cost</t>
  </si>
  <si>
    <t xml:space="preserve">Investor preferred accrued (24 mo)</t>
  </si>
  <si>
    <t xml:space="preserve">NewCo promote (stabilized sale)</t>
  </si>
  <si>
    <t xml:space="preserve">Investor sale profit after promote</t>
  </si>
  <si>
    <t xml:space="preserve">Investor sale-only ROI</t>
  </si>
  <si>
    <t xml:space="preserve">Developed-sale gain (Exit 2, 50% capture)</t>
  </si>
  <si>
    <t xml:space="preserve">NewCo promote (developed sale)</t>
  </si>
  <si>
    <t xml:space="preserve">Investor profit (developed sale)</t>
  </si>
  <si>
    <t xml:space="preserve">mix wt</t>
  </si>
  <si>
    <t xml:space="preserve">Implied exit cap</t>
  </si>
  <si>
    <t xml:space="preserve">Upside cap (implied by canonical)</t>
  </si>
  <si>
    <t xml:space="preserve">Canonical exit value (iDevelop reference, engine convention)</t>
  </si>
  <si>
    <t xml:space="preserve">Base cap (market, secondary)</t>
  </si>
  <si>
    <t xml:space="preserve">Spread (bp)</t>
  </si>
  <si>
    <t xml:space="preserve">Spread verdict (&gt;=150 bp)</t>
  </si>
  <si>
    <t xml:space="preserve">Weighted per deal</t>
  </si>
  <si>
    <t xml:space="preserve">Base exit caps (2026 market): truck parking and IOS 7.25% (secondary IOS range 6.75-7.75%); travel center 6.25% (fuel and c-store assets trade near 5.6% nationally, 5.63% in Texas, wider without a credit tenant); distribution 5.75% (single-tenant NNN industrial 5.0-5.75%, big-box 5.5-7.0%).</t>
  </si>
  <si>
    <t xml:space="preserve">Development spread (yield on cost less exit cap) - market target is 150-250 bp</t>
  </si>
  <si>
    <t xml:space="preserve">Fees per start (orig. all deals + dev fee on built deals)</t>
  </si>
  <si>
    <t xml:space="preserve">Origination fee on all starts; developer fee only on deals that build AND succeed. Fees are RECOGNIZED AS EARNED during project execution; cash collection follows the milestones in the governing agreements.</t>
  </si>
  <si>
    <t xml:space="preserve">Top-table 'developed sale' columns illustrate one class at Exit-2 capture; the forecast uses the weighted calc grid below, not these.</t>
  </si>
  <si>
    <t xml:space="preserve">Per-exit economics (weighted deal; same waterfall, different cycle and capture)</t>
  </si>
  <si>
    <t xml:space="preserve">Gain at exit</t>
  </si>
  <si>
    <t xml:space="preserve">Pref accrued</t>
  </si>
  <si>
    <t xml:space="preserve">NewCo promote</t>
  </si>
  <si>
    <t xml:space="preserve">Investor profit</t>
  </si>
  <si>
    <t xml:space="preserve">no sale in window</t>
  </si>
  <si>
    <t xml:space="preserve">Weighted capital deployed per start (exit- and class-aware; holds deploy full cost)</t>
  </si>
  <si>
    <t xml:space="preserve">Investor ROI by exit path (weighted deal; profit over capital actually deployed)</t>
  </si>
  <si>
    <t xml:space="preserve">Capital in</t>
  </si>
  <si>
    <t xml:space="preserve">Cycle profit</t>
  </si>
  <si>
    <t xml:space="preserve">Cycle ROI</t>
  </si>
  <si>
    <t xml:space="preserve">Months</t>
  </si>
  <si>
    <t xml:space="preserve">Annualized (CAGR)</t>
  </si>
  <si>
    <t xml:space="preserve">cash yield</t>
  </si>
  <si>
    <t xml:space="preserve">Cycle ROI is profit above return of capital, on the capital deployed for that path, over one deal cycle (not per year). Exit-3 includes operating distributions during the hold; Exit-4 shows the annual cash yield while held. All-equity; debt would change these.</t>
  </si>
  <si>
    <t xml:space="preserve">Underwriting note: the gate applied per site is the development spread - yield on cost less the market exit cap - against the 150-250 bp range a developer underwrites to (columns V and W). A fixed 12% yield-on-cost floor is not the test: it is unreachable for low-cap-rate product such as distribution, where a 5.75% exit cap makes a 12% yield neither necessary nor available. Yield on cost is reported for information. Exit values in these shells embed assumptions beyond in-place NOI.</t>
  </si>
  <si>
    <t xml:space="preserve">Levered investor ROI by exit path - ILLUSTRATIVE ONLY (simplified: waterfall on unlevered gain; real debt changes equity, capital returned, pref base, draws, fees)</t>
  </si>
  <si>
    <t xml:space="preserve">Equity in</t>
  </si>
  <si>
    <t xml:space="preserve">Interest over cycle</t>
  </si>
  <si>
    <t xml:space="preserve">Levered profit</t>
  </si>
  <si>
    <t xml:space="preserve">Levered cycle ROI</t>
  </si>
  <si>
    <t xml:space="preserve">cash-on-cash</t>
  </si>
  <si>
    <t xml:space="preserve">Illustrative: interest-only debt at loan-to-cost, interest netted from cycle profit (on holds, from operating income). Simplification - the waterfall is applied to the unlevered gain; financing terms, covenants, and refinance risk are set deal by deal. Leverage amplifies losses the same way it amplifies returns. Set loan-to-cost to 0% to recover the base case.</t>
  </si>
  <si>
    <t xml:space="preserve">Waterfall calc grid - each asset class through its OWN waterfall, per exit (then weighted). This drives Monthly/Annual.</t>
  </si>
  <si>
    <t xml:space="preserve">Exit x Class</t>
  </si>
  <si>
    <t xml:space="preserve">Deployed cap</t>
  </si>
  <si>
    <t xml:space="preserve">Gain captured</t>
  </si>
  <si>
    <t xml:space="preserve">Mix wt</t>
  </si>
  <si>
    <t xml:space="preserve">Weighted per exit (drives forecast)</t>
  </si>
  <si>
    <t xml:space="preserve">NewCo promote (wt)</t>
  </si>
  <si>
    <t xml:space="preserve">Investor profit (wt)</t>
  </si>
  <si>
    <t xml:space="preserve">Blended share of starts</t>
  </si>
  <si>
    <t xml:space="preserve">Blended capital deployed</t>
  </si>
  <si>
    <t xml:space="preserve">Blended NOI</t>
  </si>
  <si>
    <t xml:space="preserve">Monthly promotes and investor sale profit now read B57:C59 (per-exit, weighted after each class waterfall). Averaging-then-waterfalling is removed from the forecast path.</t>
  </si>
  <si>
    <t xml:space="preserve">Exit capitalization-rate sensitivity (the disposition value driver). Value = stabilized NOI / exit cap.</t>
  </si>
  <si>
    <t xml:space="preserve">Exit cap</t>
  </si>
  <si>
    <t xml:space="preserve">6.00%</t>
  </si>
  <si>
    <t xml:space="preserve">6.50%</t>
  </si>
  <si>
    <t xml:space="preserve">7.00%</t>
  </si>
  <si>
    <t xml:space="preserve">7.50%</t>
  </si>
  <si>
    <t xml:space="preserve">8.00%</t>
  </si>
  <si>
    <t xml:space="preserve">8.50%</t>
  </si>
  <si>
    <t xml:space="preserve">Cap rate</t>
  </si>
  <si>
    <t xml:space="preserve">Weighted exit value</t>
  </si>
  <si>
    <t xml:space="preserve">Weighted sale gain (after 4% commission)</t>
  </si>
  <si>
    <t xml:space="preserve">Investor sale-only ROI (stabilized)</t>
  </si>
  <si>
    <t xml:space="preserve">Cap-rate expansion is the main disposition risk: each 50 bp of expansion cuts value and lands entirely in the gain. The canonical models imply 6.25%-7.0% exit caps (column R); at 8%+ the same NOI supports materially less value.</t>
  </si>
  <si>
    <t xml:space="preserve">The seven use models - which are in this proforma and which are not</t>
  </si>
  <si>
    <t xml:space="preserve">iVerify screens seven facility types. Four have completed iDevelop project models and drive this forecast. Three are screened but not yet modeled, so they contribute nothing here - they are upside, not included.</t>
  </si>
  <si>
    <t xml:space="preserve">Use model</t>
  </si>
  <si>
    <t xml:space="preserve">Site floor</t>
  </si>
  <si>
    <t xml:space="preserve">Land @$30K/ac</t>
  </si>
  <si>
    <t xml:space="preserve">Model-library cost range</t>
  </si>
  <si>
    <t xml:space="preserve">Income logic</t>
  </si>
  <si>
    <t xml:space="preserve">In proforma?</t>
  </si>
  <si>
    <t xml:space="preserve">Modeled cost</t>
  </si>
  <si>
    <t xml:space="preserve">Mix share</t>
  </si>
  <si>
    <t xml:space="preserve">Truck / trailer parking</t>
  </si>
  <si>
    <t xml:space="preserve">20 ac</t>
  </si>
  <si>
    <t xml:space="preserve">$2M - $7M plus land</t>
  </si>
  <si>
    <t xml:space="preserve">spaces x rate x occupancy</t>
  </si>
  <si>
    <t xml:space="preserve">YES</t>
  </si>
  <si>
    <t xml:space="preserve">IOS / contractor laydown</t>
  </si>
  <si>
    <t xml:space="preserve">$1.5M - $8M plus land</t>
  </si>
  <si>
    <t xml:space="preserve">usable acres x rent</t>
  </si>
  <si>
    <t xml:space="preserve">Truck plaza / travel center</t>
  </si>
  <si>
    <t xml:space="preserve">12 ac</t>
  </si>
  <si>
    <t xml:space="preserve">$20M - $50M+</t>
  </si>
  <si>
    <t xml:space="preserve">operator or ground lease</t>
  </si>
  <si>
    <t xml:space="preserve">Distribution center</t>
  </si>
  <si>
    <t xml:space="preserve">25 ac</t>
  </si>
  <si>
    <t xml:space="preserve">$30M - $80M+</t>
  </si>
  <si>
    <t xml:space="preserve">building SF x NNN rent</t>
  </si>
  <si>
    <t xml:space="preserve">Fleet / 3PL terminal</t>
  </si>
  <si>
    <t xml:space="preserve">10 ac</t>
  </si>
  <si>
    <t xml:space="preserve">$8M - $30M</t>
  </si>
  <si>
    <t xml:space="preserve">yard / building lease</t>
  </si>
  <si>
    <t xml:space="preserve">not modeled</t>
  </si>
  <si>
    <t xml:space="preserve">Port / rail support</t>
  </si>
  <si>
    <t xml:space="preserve">15 ac</t>
  </si>
  <si>
    <t xml:space="preserve">$4M - $20M</t>
  </si>
  <si>
    <t xml:space="preserve">yard rent / throughput</t>
  </si>
  <si>
    <t xml:space="preserve">Petrochem / liquid-bulk</t>
  </si>
  <si>
    <t xml:space="preserve">$10M - $50M+</t>
  </si>
  <si>
    <t xml:space="preserve">specialty tenant or contract</t>
  </si>
  <si>
    <t xml:space="preserve">Coverage check</t>
  </si>
  <si>
    <t xml:space="preserve">Models carried in this forecast</t>
  </si>
  <si>
    <t xml:space="preserve">Models screened but not modeled</t>
  </si>
  <si>
    <t xml:space="preserve">Share of the program's facility types represented</t>
  </si>
  <si>
    <t xml:space="preserve">Cost reconciliation against the model library</t>
  </si>
  <si>
    <t xml:space="preserve">Reconciled against market comps (see Comps tab): the travel center at ~$7.0M and distribution at ~$9.3M are mid-format builds, both supported by 2026 cost data. The library's $20M-$50M+ and $30M-$80M+ ranges describe large-format flagship facilities. Distribution's issue is its 6.76% yield on cost, not its cost or exit cap.</t>
  </si>
  <si>
    <t xml:space="preserve">What the three unmodeled types mean for the forecast: nothing is claimed for them here. If fleet/3PL, port/rail, or petrochem models are completed and clear the spread test, they widen the addressable pipeline without changing any figure in this workbook.</t>
  </si>
  <si>
    <t xml:space="preserve">Market comps - development cost and exit cap by model (2026 sources)</t>
  </si>
  <si>
    <t xml:space="preserve">Pulled from published 2026 market data and named transactions. Compare the modeled figure against the market range; green = supported, amber = check.</t>
  </si>
  <si>
    <t xml:space="preserve">Model</t>
  </si>
  <si>
    <t xml:space="preserve">Market development cost</t>
  </si>
  <si>
    <t xml:space="preserve">Market exit cap</t>
  </si>
  <si>
    <t xml:space="preserve">Model exit cap</t>
  </si>
  <si>
    <t xml:space="preserve">Verdict</t>
  </si>
  <si>
    <t xml:space="preserve">Source basis</t>
  </si>
  <si>
    <t xml:space="preserve">$15-$40/SF site work; stalls rent $75-$200/mo; 2-5 ac yards $8K-$20K/mo</t>
  </si>
  <si>
    <t xml:space="preserve">6.75%-7.75% secondary; 7%-9% by credit/lease</t>
  </si>
  <si>
    <t xml:space="preserve">SUPPORTED</t>
  </si>
  <si>
    <t xml:space="preserve">Matthews 2026 IOS update; Cauble 2026 cap guide</t>
  </si>
  <si>
    <t xml:space="preserve">$15-$40/SF vs warehouse $150-$250/SF; dev yields 8.5%-10.5% secondary</t>
  </si>
  <si>
    <t xml:space="preserve">6.00%-6.75% primary; 6.75%-7.75% secondary</t>
  </si>
  <si>
    <t xml:space="preserve">Matthews 2026; Clarion; Cauble</t>
  </si>
  <si>
    <t xml:space="preserve">$2.0M-$4.5M well-fitted; Atlanta IL comp $5.8M on 8 ac (c-store, QSR, car wash); large format to $20M+</t>
  </si>
  <si>
    <t xml:space="preserve">5.58% w/ fuel income; TX 5.63%; weaker mkts 6.0%-6.5%</t>
  </si>
  <si>
    <t xml:space="preserve">ProfitableVenture; Logan Cty EDP deal; GasStationTrader 2026</t>
  </si>
  <si>
    <t xml:space="preserve">$85-$200/SF turnkey; large-format dry $55-$75/SF; 100K SF = $2M-$6M</t>
  </si>
  <si>
    <t xml:space="preserve">4.75%-5.50% Class A primary; 5.5%-7.0% big-box</t>
  </si>
  <si>
    <t xml:space="preserve">CHECK YIELD</t>
  </si>
  <si>
    <t xml:space="preserve">Brown Integrated 2026; Terrapin CG May 2026; CLS CRE 2026</t>
  </si>
  <si>
    <t xml:space="preserve">3PL warehouse build in the dry-warehouse band $55-$175/SF plus yard</t>
  </si>
  <si>
    <t xml:space="preserve">industrial 5.0%-7.0% by credit and term</t>
  </si>
  <si>
    <t xml:space="preserve">NOT MODELED</t>
  </si>
  <si>
    <t xml:space="preserve">Terrapin CG; CommercialCalc 2026</t>
  </si>
  <si>
    <t xml:space="preserve">yard-led build, IOS-like site work plus rail spur</t>
  </si>
  <si>
    <t xml:space="preserve">IOS-adjacent 6.75%-7.75%</t>
  </si>
  <si>
    <t xml:space="preserve">Matthews 2026 (adjacent)</t>
  </si>
  <si>
    <t xml:space="preserve">specialty; tankage and containment drive cost well above dry warehouse</t>
  </si>
  <si>
    <t xml:space="preserve">specialty, thin comp set</t>
  </si>
  <si>
    <t xml:space="preserve">no reliable public comp</t>
  </si>
  <si>
    <t xml:space="preserve">What the comps settle</t>
  </si>
  <si>
    <t xml:space="preserve">Travel center: RESOLVED. The modeled ~$7.0M is supported. A full-service travel center with c-store, quick-service restaurant and car wash was built on 8 acres in Atlanta, Illinois for a $5.8M total project cost. The model library's $20M-$50M+ range describes large-format flagship centers, not this format. Earlier concern withdrawn.</t>
  </si>
  <si>
    <t xml:space="preserve">Distribution: PARTLY RESOLVED. The modeled ~$9.3M is a plausible mid-format build ($55-$75/SF large-format dry warehouse implies roughly 125K-170K SF). The library's $30M-$80M+ range describes 500K+ SF facilities. The problem is not the cost or the exit cap - it is the 6.76% yield on cost. At a 5.75% exit the spread is about 100bp, below the 150bp minimum. Distribution needs cheaper land, cheaper build, or higher rent to clear.</t>
  </si>
  <si>
    <t xml:space="preserve">Truck parking and IOS: SUPPORTED on both sides. Modeled 11.8% yield on cost sits above the published 8.5%-10.5% secondary-market development yield range, which is what a real owner-direct cost advantage should produce - and it is the single assumption most worth proving with one completed yard and actual invoices.</t>
  </si>
  <si>
    <t xml:space="preserve">Sources: Matthews 2026 IOS Sector Update; Clarion Partners; Tyler Cauble 2026 cap rate guide; GasStationTrader travel-center market data 2026; Logan County EDP (Atlanta IL travel center); Brown Integrated Logistics 2026 warehouse cost guide; Terrapin Consulting Group commercial construction costs May 2026; CLS CRE industrial financing guide 2026; CommercialCalc 2026.</t>
  </si>
  <si>
    <t xml:space="preserve">Risk profile by model - what the return does not show</t>
  </si>
  <si>
    <t xml:space="preserve">Truck parking and IOS carry the best modeled returns. They also carry the least vertical improvement, which changes the downside, the lease covenant, and the debt available.</t>
  </si>
  <si>
    <t xml:space="preserve">Land value</t>
  </si>
  <si>
    <t xml:space="preserve">Land as % of cost</t>
  </si>
  <si>
    <t xml:space="preserve">Value floor if the use fails</t>
  </si>
  <si>
    <t xml:space="preserve">Floor as % of exit value</t>
  </si>
  <si>
    <t xml:space="preserve">Typical lease term / covenant</t>
  </si>
  <si>
    <t xml:space="preserve">Typical debt (LTC)</t>
  </si>
  <si>
    <t xml:space="preserve">1-5 yr, small carriers, weaker covenant</t>
  </si>
  <si>
    <t xml:space="preserve">1-5 yr, contractors/3PL, sticky but short</t>
  </si>
  <si>
    <t xml:space="preserve">10-20 yr operator or ground lease</t>
  </si>
  <si>
    <t xml:space="preserve">7-15 yr NNN, often credit tenant</t>
  </si>
  <si>
    <t xml:space="preserve">Reading it. Your point holds on two of three counts. Lease covenant: parking and IOS run short leases to small operators, so income is less contractually durable than a 10-year NNN to a credit tenant. Debt: lenders advance less against low-coverage land, so these assets carry less leverage and the equity works harder. But the third count runs the other way - land is a LARGER share of basis in parking and IOS, and land does not depreciate or go functionally obsolete the way a building does. A yard never has the wrong clear height.</t>
  </si>
  <si>
    <t xml:space="preserve">The sharper risk is the barrier. Parking and IOS cost $15-$40/SF to build against $150-$250/SF for warehouse. Low capital cost means the barrier to a competitor is zoning, not money. Institutional IOS is valuable precisely where zoning makes supply impossible to replicate - infill parcels with grandfathered rights. At greenfield interstate interchanges, where these sites are, zoning is more obtainable, so the supply constraint that protects infill IOS may not protect a rural interchange yard. That is the risk the high modeled return is compensating for, and it argues for screening on zoning scarcity, not just on traffic and price.</t>
  </si>
  <si>
    <t xml:space="preserve">Investor returns - IRR, equity multiple, and cash yield</t>
  </si>
  <si>
    <t xml:space="preserve">IRR computed from actual monthly cash flows, not annualized from a cycle return. Net to the investor: after the broker commission, all project fees, and the sponsor promote.</t>
  </si>
  <si>
    <t xml:space="preserve">Per deal, weighted</t>
  </si>
  <si>
    <t xml:space="preserve">Sell entitled</t>
  </si>
  <si>
    <t xml:space="preserve">Sell developed</t>
  </si>
  <si>
    <t xml:space="preserve">Sell stabilized</t>
  </si>
  <si>
    <t xml:space="preserve">Hold / refinance</t>
  </si>
  <si>
    <t xml:space="preserve">Capital deployed</t>
  </si>
  <si>
    <t xml:space="preserve">ongoing</t>
  </si>
  <si>
    <t xml:space="preserve">Operating distributions received</t>
  </si>
  <si>
    <t xml:space="preserve">Investor profit at exit</t>
  </si>
  <si>
    <t xml:space="preserve">-</t>
  </si>
  <si>
    <t xml:space="preserve">Total returned to investor</t>
  </si>
  <si>
    <t xml:space="preserve">Equity multiple</t>
  </si>
  <si>
    <t xml:space="preserve">Cash yield while held</t>
  </si>
  <si>
    <t xml:space="preserve">Monthly cash flow to the investor (drives the IRR above)</t>
  </si>
  <si>
    <t xml:space="preserve">Month</t>
  </si>
  <si>
    <t xml:space="preserve">IRR (monthly)</t>
  </si>
  <si>
    <t xml:space="preserve">IRR (annualized)</t>
  </si>
  <si>
    <t xml:space="preserve">IRR here is net to the investor: the broker commission, the origination and developer fees, and the sponsor promote are all taken out before these cash flows. Private real estate funds targeting value-add strategies commonly advertise gross IRR of 15-20 percent with net-to-investor IRR of 12-15 percent, so these are stated on the stricter of the two bases.</t>
  </si>
  <si>
    <t xml:space="preserve">Equity multiple is total cash returned divided by capital deployed, over the cycle shown. Hold deals have no exit in the window, so a multiple is not stated; the cash yield is.</t>
  </si>
  <si>
    <t xml:space="preserve">Monthly model - starts, exits, NewCo cash. Compounding is visible here.</t>
  </si>
  <si>
    <t xml:space="preserve">Starts</t>
  </si>
  <si>
    <t xml:space="preserve">Exit 1 sales</t>
  </si>
  <si>
    <t xml:space="preserve">Exit 2 sales</t>
  </si>
  <si>
    <t xml:space="preserve">Exit 3 sales</t>
  </si>
  <si>
    <t xml:space="preserve">Fees</t>
  </si>
  <si>
    <t xml:space="preserve">Promotes</t>
  </si>
  <si>
    <t xml:space="preserve">NewCo revenue</t>
  </si>
  <si>
    <t xml:space="preserve">Cum starts</t>
  </si>
  <si>
    <t xml:space="preserve">Income-producing deals</t>
  </si>
  <si>
    <t xml:space="preserve">Investor operating distr.</t>
  </si>
  <si>
    <t xml:space="preserve">Sites investigated</t>
  </si>
  <si>
    <t xml:space="preserve">Failed deals</t>
  </si>
  <si>
    <t xml:space="preserve">Investor capital written off</t>
  </si>
  <si>
    <t xml:space="preserve">Annual summary (all formulas from Monthly + Assumptions)</t>
  </si>
  <si>
    <t xml:space="preserve">Year 1</t>
  </si>
  <si>
    <t xml:space="preserve">Year 2</t>
  </si>
  <si>
    <t xml:space="preserve">Year 3</t>
  </si>
  <si>
    <t xml:space="preserve">3-Year Total</t>
  </si>
  <si>
    <t xml:space="preserve">Exit 1 sales (entitled)</t>
  </si>
  <si>
    <t xml:space="preserve">Exit 2 sales (developed)</t>
  </si>
  <si>
    <t xml:space="preserve">Exit 3 sales (stabilized)</t>
  </si>
  <si>
    <t xml:space="preserve">INVESTORS - capital and preferred come first</t>
  </si>
  <si>
    <t xml:space="preserve">Capital returned at exits</t>
  </si>
  <si>
    <t xml:space="preserve">Operating distributions during holds</t>
  </si>
  <si>
    <t xml:space="preserve">Sale profit (after capital + pref, per waterfall)</t>
  </si>
  <si>
    <t xml:space="preserve">Total cash to investors (net of write-offs)</t>
  </si>
  <si>
    <t xml:space="preserve">Failed deals (no exit, no promote)</t>
  </si>
  <si>
    <t xml:space="preserve">Investor capital written off on failures (net of recovery)</t>
  </si>
  <si>
    <t xml:space="preserve">Fee income - for work: investigation fees (kept on sites that do not advance) + origination and developer fees, net of credits</t>
  </si>
  <si>
    <t xml:space="preserve">Promote income - for success (only after investor capital + pref)</t>
  </si>
  <si>
    <t xml:space="preserve">Operating cost (NewCo administration only; PM, engineering, legal, environmental, survey are reimbursable at the project entity)</t>
  </si>
  <si>
    <t xml:space="preserve">NewCo net (pretax, before reserves and distributions policy)</t>
  </si>
  <si>
    <t xml:space="preserve">Subordination check: promotes as % of investor sale profit</t>
  </si>
  <si>
    <t xml:space="preserve">Fees compensate development work and are already inside each deal's cost basis - investor returns above are computed after them. Promotes are success pay and can never outrun the waterfall: investors take capital and the 8% pref before NewCo's promote exists.</t>
  </si>
  <si>
    <t xml:space="preserve">Fee recognition: development and origination fees are recognized as earned during project execution; cash collections occur at milestones set in the governing agreements.</t>
  </si>
  <si>
    <t xml:space="preserve">Total project capitalization associated with starts (not a monthly cash-draw schedule)</t>
  </si>
  <si>
    <t xml:space="preserve">Pipeline at end of Year 3 (incl. Exit-4 holds)</t>
  </si>
  <si>
    <t xml:space="preserve">Fractional deal counts are expected portfolio averages, not individual transactions. Aggregates lag the ramp because deals take 9-24 months to exit.</t>
  </si>
  <si>
    <t xml:space="preserve">NewCo ownership and principal economics</t>
  </si>
  <si>
    <t xml:space="preserve">Three principals at one-third each, diluted equally by the pool sold. Revise the yellow cell.</t>
  </si>
  <si>
    <t xml:space="preserve">Founding Partner pool sold (% of NewCo)</t>
  </si>
  <si>
    <t xml:space="preserve">0% = no dilution; 10% = the pool run for discussion</t>
  </si>
  <si>
    <t xml:space="preserve">Owner</t>
  </si>
  <si>
    <t xml:space="preserve">Before pool</t>
  </si>
  <si>
    <t xml:space="preserve">After pool</t>
  </si>
  <si>
    <t xml:space="preserve">Michael Hoffman</t>
  </si>
  <si>
    <t xml:space="preserve">Ricky Rayborn</t>
  </si>
  <si>
    <t xml:space="preserve">Kent Batman</t>
  </si>
  <si>
    <t xml:space="preserve">Founding Partner pool</t>
  </si>
  <si>
    <t xml:space="preserve">Total</t>
  </si>
  <si>
    <t xml:space="preserve">Share of NewCo net by year (after pool)</t>
  </si>
  <si>
    <t xml:space="preserve">Total NewCo net</t>
  </si>
  <si>
    <t xml:space="preserve">Ownership shares are of NewCo's economics as modeled; distributions, vesting, and any reserves are set in the formation documents with counsel.</t>
  </si>
  <si>
    <t xml:space="preserve">Sensitivity - the three dominant drivers</t>
  </si>
  <si>
    <t xml:space="preserve">One driver varies at a time; the other two hold at base. Computed from the model's own assumptions.</t>
  </si>
  <si>
    <t xml:space="preserve">Driver</t>
  </si>
  <si>
    <t xml:space="preserve">Base</t>
  </si>
  <si>
    <t xml:space="preserve">Low case</t>
  </si>
  <si>
    <t xml:space="preserve">High case</t>
  </si>
  <si>
    <t xml:space="preserve">Starts per month (steady state)</t>
  </si>
  <si>
    <t xml:space="preserve">Terminated projects (share of starts)</t>
  </si>
  <si>
    <t xml:space="preserve">Exit cap rate (stabilized disposition)</t>
  </si>
  <si>
    <t xml:space="preserve">Base mirrors the model's current inputs (7.25% base case); Low/High are management's stated range.</t>
  </si>
  <si>
    <t xml:space="preserve">Driver 1 - Starts per month  (termination and cap at base)</t>
  </si>
  <si>
    <t xml:space="preserve">Metric</t>
  </si>
  <si>
    <t xml:space="preserve">3-year starts</t>
  </si>
  <si>
    <t xml:space="preserve">Successful exits in window</t>
  </si>
  <si>
    <t xml:space="preserve">Terminated projects</t>
  </si>
  <si>
    <t xml:space="preserve">NewCo fee income</t>
  </si>
  <si>
    <t xml:space="preserve">NewCo promote income</t>
  </si>
  <si>
    <t xml:space="preserve">NewCo net (pretax)</t>
  </si>
  <si>
    <t xml:space="preserve">Investor sale profit</t>
  </si>
  <si>
    <t xml:space="preserve">Volume scales fees and promotes together; year-1 ramp is fixed, so only the steady rate moves.</t>
  </si>
  <si>
    <t xml:space="preserve">Driver 2 - Terminated projects  (starts and cap at base)</t>
  </si>
  <si>
    <t xml:space="preserve">Termination cuts exits, promotes, and the developer fee; the investigation fee is still earned.</t>
  </si>
  <si>
    <t xml:space="preserve">Driver 3 - Exit cap rate  (starts and termination at base)</t>
  </si>
  <si>
    <t xml:space="preserve">Weighted sale gain (after commission)</t>
  </si>
  <si>
    <t xml:space="preserve">NewCo promote per stabilized sale</t>
  </si>
  <si>
    <t xml:space="preserve">Change in investor ROI vs base</t>
  </si>
  <si>
    <t xml:space="preserve">Cap-rate movement lands entirely in the gain, so it is the sharpest driver of investor return - and the one management controls least.</t>
  </si>
  <si>
    <t xml:space="preserve">Reading: volume drives NewCo revenue, termination drives both sides modestly, and exit cap drives investor return hardest.</t>
  </si>
  <si>
    <t xml:space="preserve">What is the company worth?</t>
  </si>
  <si>
    <t xml:space="preserve">Valuation of NewCo on the model's own output. Blue cells are the judgment inputs - multiples and discounts are where reasonable people differ most.</t>
  </si>
  <si>
    <t xml:space="preserve">Judgment inputs</t>
  </si>
  <si>
    <t xml:space="preserve">Tax rate applied to pretax income</t>
  </si>
  <si>
    <t xml:space="preserve">Multiple on fee income (services / development business)</t>
  </si>
  <si>
    <t xml:space="preserve">Multiple on promote income (episodic, deal-dependent)</t>
  </si>
  <si>
    <t xml:space="preserve">Discount rate on embedded pipeline promotes</t>
  </si>
  <si>
    <t xml:space="preserve">Average years to realize pipeline promotes</t>
  </si>
  <si>
    <t xml:space="preserve">Execution / key-person / no-history discount</t>
  </si>
  <si>
    <t xml:space="preserve">Fee multiples reflect recurring service income; promote multiples are lower because carry is episodic and deal-dependent.</t>
  </si>
  <si>
    <t xml:space="preserve">Method 1 - Capitalized Year-3 run rate</t>
  </si>
  <si>
    <t xml:space="preserve">Component</t>
  </si>
  <si>
    <t xml:space="preserve">After tax</t>
  </si>
  <si>
    <t xml:space="preserve">Value</t>
  </si>
  <si>
    <t xml:space="preserve">Fee income less operating cost</t>
  </si>
  <si>
    <t xml:space="preserve">Promote income</t>
  </si>
  <si>
    <t xml:space="preserve">Enterprise value, before execution discount</t>
  </si>
  <si>
    <t xml:space="preserve">Less execution / key-person / no-history discount</t>
  </si>
  <si>
    <t xml:space="preserve">Method 1 value</t>
  </si>
  <si>
    <t xml:space="preserve">Method 2 - Embedded value already in the pipeline</t>
  </si>
  <si>
    <t xml:space="preserve">Projects in pipeline at end of Year 3</t>
  </si>
  <si>
    <t xml:space="preserve">Expected to reach a successful exit</t>
  </si>
  <si>
    <t xml:space="preserve">Expected promote per successful project (exit-mix weighted)</t>
  </si>
  <si>
    <t xml:space="preserve">Embedded promote, undiscounted</t>
  </si>
  <si>
    <t xml:space="preserve">Present value at the discount rate above</t>
  </si>
  <si>
    <t xml:space="preserve">Method 2 value (pipeline only, no future originations)</t>
  </si>
  <si>
    <t xml:space="preserve">Range</t>
  </si>
  <si>
    <t xml:space="preserve">Basis</t>
  </si>
  <si>
    <t xml:space="preserve">Method 2 - pipeline in hand only (floor)</t>
  </si>
  <si>
    <t xml:space="preserve">Method 1 - capitalized run rate (going concern)</t>
  </si>
  <si>
    <t xml:space="preserve">Midpoint</t>
  </si>
  <si>
    <t xml:space="preserve">Sanity check against today's offer</t>
  </si>
  <si>
    <t xml:space="preserve">Platform value implied by the Founding Partner pool ($20,000 per 0.5%)</t>
  </si>
  <si>
    <t xml:space="preserve">Method 1 value as a multiple of that price</t>
  </si>
  <si>
    <t xml:space="preserve">These are two different things: the $4,000,000 is a price for a small, non-voting slice of a company with no operating history today. The model values a company that has executed three years of the Base Capacity Case. The gap is execution risk, and it is the whole question.</t>
  </si>
  <si>
    <t xml:space="preserve">What a buyer would actually test: whether starts, fee collection, and exits happen as modeled; whether the principals are replaceable; whether the software and data are transferable and owned; and what the exit cap environment looks like at the time of sale. This is a model output, not an appraisal or a fairness opinion, and not investment advice.</t>
  </si>
</sst>
</file>

<file path=xl/styles.xml><?xml version="1.0" encoding="utf-8"?>
<styleSheet xmlns="http://schemas.openxmlformats.org/spreadsheetml/2006/main">
  <numFmts count="9">
    <numFmt numFmtId="164" formatCode="General"/>
    <numFmt numFmtId="165" formatCode="0.0%"/>
    <numFmt numFmtId="166" formatCode="\$#,##0"/>
    <numFmt numFmtId="167" formatCode="0%"/>
    <numFmt numFmtId="168" formatCode="0.00%"/>
    <numFmt numFmtId="169" formatCode="0&quot;bp&quot;"/>
    <numFmt numFmtId="170" formatCode="0.00\x"/>
    <numFmt numFmtId="171" formatCode="0.0\x"/>
    <numFmt numFmtId="172" formatCode="0.0"/>
  </numFmts>
  <fonts count="13">
    <font>
      <sz val="11"/>
      <color theme="1"/>
      <name val="Calibri"/>
      <family val="2"/>
      <charset val="1"/>
    </font>
    <font>
      <sz val="10"/>
      <name val="Arial"/>
      <family val="0"/>
    </font>
    <font>
      <sz val="10"/>
      <name val="Arial"/>
      <family val="0"/>
    </font>
    <font>
      <sz val="10"/>
      <name val="Arial"/>
      <family val="0"/>
    </font>
    <font>
      <b val="true"/>
      <sz val="14"/>
      <color rgb="FF1F3A5C"/>
      <name val="Arial"/>
      <family val="0"/>
      <charset val="1"/>
    </font>
    <font>
      <i val="true"/>
      <sz val="9"/>
      <color rgb="FF667A8A"/>
      <name val="Arial"/>
      <family val="0"/>
      <charset val="1"/>
    </font>
    <font>
      <b val="true"/>
      <sz val="11"/>
      <name val="Arial"/>
      <family val="0"/>
      <charset val="1"/>
    </font>
    <font>
      <sz val="11"/>
      <name val="Arial"/>
      <family val="0"/>
      <charset val="1"/>
    </font>
    <font>
      <sz val="11"/>
      <color rgb="FF0000FF"/>
      <name val="Arial"/>
      <family val="0"/>
      <charset val="1"/>
    </font>
    <font>
      <b val="true"/>
      <sz val="11"/>
      <color rgb="FFFFFFFF"/>
      <name val="Arial"/>
      <family val="0"/>
      <charset val="1"/>
    </font>
    <font>
      <b val="true"/>
      <sz val="12"/>
      <color rgb="FF1F3A5C"/>
      <name val="Arial"/>
      <family val="0"/>
      <charset val="1"/>
    </font>
    <font>
      <b val="true"/>
      <sz val="13"/>
      <color rgb="FF1F3A5C"/>
      <name val="Arial"/>
      <family val="0"/>
      <charset val="1"/>
    </font>
    <font>
      <sz val="11"/>
      <color rgb="FF008000"/>
      <name val="Arial"/>
      <family val="0"/>
      <charset val="1"/>
    </font>
  </fonts>
  <fills count="6">
    <fill>
      <patternFill patternType="none"/>
    </fill>
    <fill>
      <patternFill patternType="gray125"/>
    </fill>
    <fill>
      <patternFill patternType="solid">
        <fgColor rgb="FFFFFF00"/>
        <bgColor rgb="FFFFFF00"/>
      </patternFill>
    </fill>
    <fill>
      <patternFill patternType="solid">
        <fgColor rgb="FF1F3A5C"/>
        <bgColor rgb="FF333333"/>
      </patternFill>
    </fill>
    <fill>
      <patternFill patternType="solid">
        <fgColor rgb="FFFFF2CC"/>
        <bgColor rgb="FFE2EFDA"/>
      </patternFill>
    </fill>
    <fill>
      <patternFill patternType="solid">
        <fgColor rgb="FFE2EFDA"/>
        <bgColor rgb="FFFFF2CC"/>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5" fontId="8" fillId="2" borderId="0" xfId="0" applyFont="true" applyBorder="false" applyAlignment="true" applyProtection="false">
      <alignment horizontal="general" vertical="bottom" textRotation="0" wrapText="false" indent="0" shrinkToFit="false"/>
      <protection locked="true" hidden="false"/>
    </xf>
    <xf numFmtId="165" fontId="8" fillId="0" borderId="0" xfId="0" applyFont="true" applyBorder="false" applyAlignment="true" applyProtection="false">
      <alignment horizontal="general" vertical="bottom" textRotation="0" wrapText="false" indent="0" shrinkToFit="false"/>
      <protection locked="true" hidden="false"/>
    </xf>
    <xf numFmtId="166" fontId="8" fillId="0" borderId="0" xfId="0" applyFont="true" applyBorder="false" applyAlignment="true" applyProtection="false">
      <alignment horizontal="general" vertical="bottom" textRotation="0" wrapText="false" indent="0" shrinkToFit="false"/>
      <protection locked="true" hidden="false"/>
    </xf>
    <xf numFmtId="166" fontId="8" fillId="2" borderId="0" xfId="0" applyFont="true" applyBorder="false" applyAlignment="true" applyProtection="false">
      <alignment horizontal="general" vertical="bottom" textRotation="0" wrapText="false" indent="0" shrinkToFit="false"/>
      <protection locked="true" hidden="false"/>
    </xf>
    <xf numFmtId="164" fontId="9" fillId="3" borderId="0" xfId="0" applyFont="true" applyBorder="false" applyAlignment="true" applyProtection="false">
      <alignment horizontal="general" vertical="bottom" textRotation="0" wrapText="false" indent="0" shrinkToFit="false"/>
      <protection locked="true" hidden="false"/>
    </xf>
    <xf numFmtId="167" fontId="0" fillId="0" borderId="0" xfId="0" applyFont="false" applyBorder="false" applyAlignment="true" applyProtection="false">
      <alignment horizontal="general" vertical="bottom" textRotation="0" wrapText="false" indent="0" shrinkToFit="false"/>
      <protection locked="true" hidden="false"/>
    </xf>
    <xf numFmtId="164" fontId="9" fillId="3" borderId="0" xfId="0" applyFont="true" applyBorder="false" applyAlignment="true" applyProtection="false">
      <alignment horizontal="general" vertical="bottom" textRotation="0" wrapText="true" indent="0" shrinkToFit="false"/>
      <protection locked="true" hidden="false"/>
    </xf>
    <xf numFmtId="167" fontId="8" fillId="0" borderId="0" xfId="0" applyFont="true" applyBorder="false" applyAlignment="true" applyProtection="false">
      <alignment horizontal="general" vertical="bottom" textRotation="0" wrapText="false" indent="0" shrinkToFit="false"/>
      <protection locked="true" hidden="false"/>
    </xf>
    <xf numFmtId="164" fontId="8" fillId="2" borderId="0" xfId="0" applyFont="true" applyBorder="false" applyAlignment="true" applyProtection="false">
      <alignment horizontal="general" vertical="bottom" textRotation="0" wrapText="false" indent="0" shrinkToFit="false"/>
      <protection locked="true" hidden="false"/>
    </xf>
    <xf numFmtId="167" fontId="8" fillId="2" borderId="0" xfId="0" applyFont="true" applyBorder="false" applyAlignment="true" applyProtection="false">
      <alignment horizontal="general" vertical="bottom" textRotation="0" wrapText="false" indent="0" shrinkToFit="false"/>
      <protection locked="true" hidden="false"/>
    </xf>
    <xf numFmtId="167" fontId="6" fillId="0"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6" fontId="7" fillId="0" borderId="0" xfId="0" applyFont="true" applyBorder="false" applyAlignment="tru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general" vertical="bottom" textRotation="0" wrapText="false" indent="0" shrinkToFit="false"/>
      <protection locked="true" hidden="false"/>
    </xf>
    <xf numFmtId="166" fontId="0" fillId="0" borderId="0" xfId="0" applyFont="false" applyBorder="false" applyAlignment="true" applyProtection="false">
      <alignment horizontal="general" vertical="bottom" textRotation="0" wrapText="false" indent="0" shrinkToFit="false"/>
      <protection locked="true" hidden="false"/>
    </xf>
    <xf numFmtId="165" fontId="5" fillId="0" borderId="0" xfId="0" applyFont="true" applyBorder="false" applyAlignment="true" applyProtection="false">
      <alignment horizontal="general" vertical="bottom" textRotation="0" wrapText="false" indent="0" shrinkToFit="false"/>
      <protection locked="true" hidden="false"/>
    </xf>
    <xf numFmtId="168" fontId="5" fillId="0" borderId="0" xfId="0" applyFont="true" applyBorder="false" applyAlignment="true" applyProtection="false">
      <alignment horizontal="general" vertical="bottom" textRotation="0" wrapText="false" indent="0" shrinkToFit="false"/>
      <protection locked="true" hidden="false"/>
    </xf>
    <xf numFmtId="166" fontId="5" fillId="0" borderId="0" xfId="0" applyFont="true" applyBorder="false" applyAlignment="true" applyProtection="false">
      <alignment horizontal="general" vertical="bottom" textRotation="0" wrapText="false" indent="0" shrinkToFit="false"/>
      <protection locked="true" hidden="false"/>
    </xf>
    <xf numFmtId="168" fontId="8" fillId="2" borderId="0" xfId="0" applyFont="true" applyBorder="false" applyAlignment="true" applyProtection="false">
      <alignment horizontal="general" vertical="bottom" textRotation="0" wrapText="false" indent="0" shrinkToFit="false"/>
      <protection locked="true" hidden="false"/>
    </xf>
    <xf numFmtId="169" fontId="0" fillId="0" borderId="0" xfId="0" applyFont="false" applyBorder="false" applyAlignment="true" applyProtection="false">
      <alignment horizontal="general" vertical="bottom" textRotation="0" wrapText="false" indent="0" shrinkToFit="false"/>
      <protection locked="true" hidden="false"/>
    </xf>
    <xf numFmtId="166" fontId="6" fillId="0" borderId="0" xfId="0" applyFont="true" applyBorder="false" applyAlignment="true" applyProtection="false">
      <alignment horizontal="general" vertical="bottom" textRotation="0" wrapText="false" indent="0" shrinkToFit="false"/>
      <protection locked="true" hidden="false"/>
    </xf>
    <xf numFmtId="168" fontId="0" fillId="0" borderId="0" xfId="0" applyFont="false" applyBorder="false" applyAlignment="true" applyProtection="false">
      <alignment horizontal="general" vertical="bottom" textRotation="0" wrapText="false" indent="0" shrinkToFit="false"/>
      <protection locked="true" hidden="false"/>
    </xf>
    <xf numFmtId="168" fontId="8" fillId="0"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0" fillId="4" borderId="0" xfId="0" applyFont="true" applyBorder="false" applyAlignment="true" applyProtection="false">
      <alignment horizontal="general" vertical="bottom" textRotation="0" wrapText="false" indent="0" shrinkToFit="false"/>
      <protection locked="true" hidden="false"/>
    </xf>
    <xf numFmtId="166" fontId="0" fillId="4" borderId="0" xfId="0" applyFont="false" applyBorder="false" applyAlignment="true" applyProtection="false">
      <alignment horizontal="general" vertical="bottom" textRotation="0" wrapText="false" indent="0" shrinkToFit="false"/>
      <protection locked="true" hidden="false"/>
    </xf>
    <xf numFmtId="164" fontId="0" fillId="5" borderId="0" xfId="0" applyFont="true" applyBorder="false" applyAlignment="true" applyProtection="false">
      <alignment horizontal="general" vertical="top" textRotation="0" wrapText="true" indent="0" shrinkToFit="false"/>
      <protection locked="true" hidden="false"/>
    </xf>
    <xf numFmtId="166" fontId="0" fillId="5" borderId="0" xfId="0" applyFont="false" applyBorder="false" applyAlignment="true" applyProtection="false">
      <alignment horizontal="general" vertical="top" textRotation="0" wrapText="true" indent="0" shrinkToFit="false"/>
      <protection locked="true" hidden="false"/>
    </xf>
    <xf numFmtId="168" fontId="0" fillId="5" borderId="0" xfId="0" applyFont="false" applyBorder="false" applyAlignment="true" applyProtection="false">
      <alignment horizontal="general" vertical="top" textRotation="0" wrapText="true" indent="0" shrinkToFit="false"/>
      <protection locked="true" hidden="false"/>
    </xf>
    <xf numFmtId="164" fontId="0" fillId="4" borderId="0" xfId="0" applyFont="true" applyBorder="false" applyAlignment="true" applyProtection="false">
      <alignment horizontal="general" vertical="top" textRotation="0" wrapText="true" indent="0" shrinkToFit="false"/>
      <protection locked="true" hidden="false"/>
    </xf>
    <xf numFmtId="166" fontId="0" fillId="4" borderId="0" xfId="0" applyFont="false" applyBorder="false" applyAlignment="true" applyProtection="false">
      <alignment horizontal="general" vertical="top" textRotation="0" wrapText="true" indent="0" shrinkToFit="false"/>
      <protection locked="true" hidden="false"/>
    </xf>
    <xf numFmtId="168" fontId="0" fillId="4" borderId="0" xfId="0" applyFont="fals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70" fontId="6" fillId="0" borderId="0" xfId="0" applyFont="true" applyBorder="false" applyAlignment="true" applyProtection="false">
      <alignment horizontal="general" vertical="bottom" textRotation="0" wrapText="false" indent="0" shrinkToFit="false"/>
      <protection locked="true" hidden="false"/>
    </xf>
    <xf numFmtId="165" fontId="6" fillId="0" borderId="0" xfId="0" applyFont="true" applyBorder="false" applyAlignment="true" applyProtection="false">
      <alignment horizontal="general" vertical="bottom" textRotation="0" wrapText="false" indent="0" shrinkToFit="false"/>
      <protection locked="true" hidden="false"/>
    </xf>
    <xf numFmtId="164" fontId="7" fillId="3" borderId="0" xfId="0" applyFont="true" applyBorder="false" applyAlignment="true" applyProtection="false">
      <alignment horizontal="general" vertical="bottom" textRotation="0" wrapText="false" indent="0" shrinkToFit="false"/>
      <protection locked="true" hidden="false"/>
    </xf>
    <xf numFmtId="164" fontId="0" fillId="3" borderId="0" xfId="0" applyFont="false" applyBorder="false" applyAlignment="true" applyProtection="false">
      <alignment horizontal="general" vertical="bottom" textRotation="0" wrapText="false" indent="0" shrinkToFit="false"/>
      <protection locked="true" hidden="false"/>
    </xf>
    <xf numFmtId="166" fontId="7" fillId="3" borderId="0" xfId="0" applyFont="true" applyBorder="false" applyAlignment="true" applyProtection="false">
      <alignment horizontal="general" vertical="bottom" textRotation="0" wrapText="false" indent="0" shrinkToFit="false"/>
      <protection locked="true" hidden="false"/>
    </xf>
    <xf numFmtId="166" fontId="0" fillId="3" borderId="0" xfId="0" applyFont="false" applyBorder="false" applyAlignment="true" applyProtection="false">
      <alignment horizontal="general" vertical="bottom" textRotation="0" wrapText="false" indent="0" shrinkToFit="false"/>
      <protection locked="true" hidden="false"/>
    </xf>
    <xf numFmtId="166" fontId="12" fillId="0" borderId="0" xfId="0" applyFont="true" applyBorder="false" applyAlignment="true" applyProtection="false">
      <alignment horizontal="general" vertical="bottom" textRotation="0" wrapText="false" indent="0" shrinkToFit="false"/>
      <protection locked="true" hidden="false"/>
    </xf>
    <xf numFmtId="165" fontId="7" fillId="0" borderId="0" xfId="0" applyFont="true" applyBorder="false" applyAlignment="true" applyProtection="false">
      <alignment horizontal="general" vertical="bottom" textRotation="0" wrapText="false" indent="0" shrinkToFit="false"/>
      <protection locked="true" hidden="false"/>
    </xf>
    <xf numFmtId="171" fontId="8" fillId="2" borderId="0" xfId="0" applyFont="true" applyBorder="false" applyAlignment="true" applyProtection="false">
      <alignment horizontal="general" vertical="bottom" textRotation="0" wrapText="false" indent="0" shrinkToFit="false"/>
      <protection locked="true" hidden="false"/>
    </xf>
    <xf numFmtId="172" fontId="8" fillId="2" borderId="0" xfId="0" applyFont="true" applyBorder="false" applyAlignment="true" applyProtection="false">
      <alignment horizontal="general" vertical="bottom" textRotation="0" wrapText="false" indent="0" shrinkToFit="false"/>
      <protection locked="true" hidden="false"/>
    </xf>
    <xf numFmtId="171" fontId="0" fillId="0" borderId="0" xfId="0" applyFont="fals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667A8A"/>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3A5C"/>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14"/>
    <col collapsed="false" customWidth="true" hidden="false" outlineLevel="0" max="3" min="3" style="1" width="52"/>
    <col collapsed="false" customWidth="true" hidden="false" outlineLevel="0" max="5" min="4" style="1" width="20"/>
  </cols>
  <sheetData>
    <row r="1" customFormat="false" ht="17.25" hidden="false" customHeight="true" outlineLevel="0" collapsed="false">
      <c r="A1" s="2" t="s">
        <v>0</v>
      </c>
    </row>
    <row r="2" customFormat="false" ht="15" hidden="false" customHeight="true" outlineLevel="0" collapsed="false">
      <c r="A2" s="3" t="s">
        <v>1</v>
      </c>
    </row>
    <row r="4" customFormat="false" ht="15" hidden="false" customHeight="true" outlineLevel="0" collapsed="false">
      <c r="A4" s="4" t="s">
        <v>2</v>
      </c>
      <c r="C4" s="3" t="s">
        <v>3</v>
      </c>
    </row>
    <row r="5" customFormat="false" ht="15" hidden="false" customHeight="true" outlineLevel="0" collapsed="false">
      <c r="A5" s="5" t="s">
        <v>4</v>
      </c>
      <c r="B5" s="6" t="n">
        <v>1</v>
      </c>
      <c r="C5" s="3" t="s">
        <v>5</v>
      </c>
    </row>
    <row r="6" customFormat="false" ht="15" hidden="false" customHeight="true" outlineLevel="0" collapsed="false">
      <c r="A6" s="5" t="s">
        <v>6</v>
      </c>
      <c r="B6" s="6" t="n">
        <v>2</v>
      </c>
      <c r="C6" s="3"/>
    </row>
    <row r="7" customFormat="false" ht="15" hidden="false" customHeight="true" outlineLevel="0" collapsed="false">
      <c r="A7" s="5" t="s">
        <v>7</v>
      </c>
      <c r="B7" s="6" t="n">
        <v>4</v>
      </c>
      <c r="C7" s="3"/>
    </row>
    <row r="8" customFormat="false" ht="15" hidden="false" customHeight="true" outlineLevel="0" collapsed="false">
      <c r="A8" s="5" t="s">
        <v>8</v>
      </c>
      <c r="B8" s="6" t="n">
        <v>8</v>
      </c>
      <c r="C8" s="3"/>
    </row>
    <row r="9" customFormat="false" ht="15" hidden="false" customHeight="true" outlineLevel="0" collapsed="false">
      <c r="A9" s="5" t="s">
        <v>9</v>
      </c>
      <c r="B9" s="6" t="n">
        <v>8</v>
      </c>
      <c r="C9" s="3"/>
    </row>
    <row r="10" customFormat="false" ht="15" hidden="false" customHeight="true" outlineLevel="0" collapsed="false">
      <c r="A10" s="4" t="s">
        <v>10</v>
      </c>
      <c r="C10" s="3"/>
    </row>
    <row r="11" customFormat="false" ht="15" hidden="false" customHeight="true" outlineLevel="0" collapsed="false">
      <c r="A11" s="5" t="s">
        <v>11</v>
      </c>
      <c r="B11" s="6" t="n">
        <v>3</v>
      </c>
      <c r="C11" s="3" t="s">
        <v>12</v>
      </c>
    </row>
    <row r="12" customFormat="false" ht="15" hidden="false" customHeight="true" outlineLevel="0" collapsed="false">
      <c r="A12" s="5" t="s">
        <v>13</v>
      </c>
      <c r="B12" s="6" t="n">
        <v>3</v>
      </c>
      <c r="C12" s="3" t="s">
        <v>14</v>
      </c>
    </row>
    <row r="13" customFormat="false" ht="15" hidden="false" customHeight="true" outlineLevel="0" collapsed="false">
      <c r="A13" s="5" t="s">
        <v>15</v>
      </c>
      <c r="B13" s="6" t="n">
        <v>1</v>
      </c>
      <c r="C13" s="3" t="s">
        <v>16</v>
      </c>
    </row>
    <row r="14" customFormat="false" ht="15" hidden="false" customHeight="true" outlineLevel="0" collapsed="false">
      <c r="A14" s="5" t="s">
        <v>17</v>
      </c>
      <c r="B14" s="6" t="n">
        <v>1</v>
      </c>
      <c r="C14" s="3" t="s">
        <v>18</v>
      </c>
    </row>
    <row r="15" customFormat="false" ht="15" hidden="false" customHeight="true" outlineLevel="0" collapsed="false">
      <c r="A15" s="4" t="s">
        <v>19</v>
      </c>
      <c r="C15" s="3"/>
    </row>
    <row r="16" customFormat="false" ht="15" hidden="false" customHeight="true" outlineLevel="0" collapsed="false">
      <c r="A16" s="5" t="s">
        <v>19</v>
      </c>
      <c r="B16" s="6"/>
      <c r="C16" s="3" t="s">
        <v>20</v>
      </c>
    </row>
    <row r="17" customFormat="false" ht="15" hidden="false" customHeight="true" outlineLevel="0" collapsed="false">
      <c r="A17" s="5" t="s">
        <v>21</v>
      </c>
      <c r="B17" s="6" t="n">
        <v>12</v>
      </c>
      <c r="C17" s="3" t="s">
        <v>22</v>
      </c>
    </row>
    <row r="18" customFormat="false" ht="15" hidden="false" customHeight="true" outlineLevel="0" collapsed="false">
      <c r="A18" s="5" t="s">
        <v>23</v>
      </c>
      <c r="B18" s="7" t="n">
        <v>0.5</v>
      </c>
      <c r="C18" s="3" t="s">
        <v>24</v>
      </c>
    </row>
    <row r="19" customFormat="false" ht="15" hidden="false" customHeight="true" outlineLevel="0" collapsed="false">
      <c r="A19" s="5" t="s">
        <v>25</v>
      </c>
      <c r="B19" s="7" t="n">
        <v>0.5</v>
      </c>
      <c r="C19" s="3" t="s">
        <v>26</v>
      </c>
    </row>
    <row r="20" customFormat="false" ht="15" hidden="false" customHeight="true" outlineLevel="0" collapsed="false">
      <c r="A20" s="4" t="s">
        <v>27</v>
      </c>
      <c r="C20" s="3"/>
    </row>
    <row r="21" customFormat="false" ht="15" hidden="false" customHeight="true" outlineLevel="0" collapsed="false">
      <c r="A21" s="5" t="s">
        <v>28</v>
      </c>
      <c r="B21" s="8" t="n">
        <v>0.08</v>
      </c>
      <c r="C21" s="3" t="s">
        <v>29</v>
      </c>
    </row>
    <row r="22" customFormat="false" ht="15" hidden="false" customHeight="true" outlineLevel="0" collapsed="false">
      <c r="A22" s="5" t="s">
        <v>30</v>
      </c>
      <c r="B22" s="8" t="n">
        <v>0.2</v>
      </c>
      <c r="C22" s="3" t="s">
        <v>31</v>
      </c>
    </row>
    <row r="23" customFormat="false" ht="15" hidden="false" customHeight="true" outlineLevel="0" collapsed="false">
      <c r="A23" s="5" t="s">
        <v>32</v>
      </c>
      <c r="B23" s="8" t="n">
        <v>0.7</v>
      </c>
      <c r="C23" s="3" t="s">
        <v>33</v>
      </c>
    </row>
    <row r="24" customFormat="false" ht="15" hidden="false" customHeight="true" outlineLevel="0" collapsed="false">
      <c r="A24" s="5" t="s">
        <v>34</v>
      </c>
      <c r="B24" s="8" t="n">
        <v>0.5</v>
      </c>
      <c r="C24" s="3" t="s">
        <v>35</v>
      </c>
    </row>
    <row r="25" customFormat="false" ht="15" hidden="false" customHeight="true" outlineLevel="0" collapsed="false">
      <c r="A25" s="5" t="s">
        <v>36</v>
      </c>
      <c r="B25" s="8" t="n">
        <v>0.04</v>
      </c>
      <c r="C25" s="3" t="s">
        <v>37</v>
      </c>
    </row>
    <row r="26" customFormat="false" ht="15" hidden="false" customHeight="true" outlineLevel="0" collapsed="false">
      <c r="A26" s="4" t="s">
        <v>38</v>
      </c>
      <c r="C26" s="3"/>
    </row>
    <row r="27" customFormat="false" ht="15" hidden="false" customHeight="true" outlineLevel="0" collapsed="false">
      <c r="A27" s="5" t="s">
        <v>39</v>
      </c>
      <c r="B27" s="8" t="n">
        <v>0.02</v>
      </c>
      <c r="C27" s="3" t="s">
        <v>40</v>
      </c>
    </row>
    <row r="28" customFormat="false" ht="15" hidden="false" customHeight="true" outlineLevel="0" collapsed="false">
      <c r="A28" s="5" t="s">
        <v>41</v>
      </c>
      <c r="B28" s="8" t="n">
        <v>0.03</v>
      </c>
      <c r="C28" s="3"/>
    </row>
    <row r="29" customFormat="false" ht="15" hidden="false" customHeight="true" outlineLevel="0" collapsed="false">
      <c r="A29" s="5" t="s">
        <v>42</v>
      </c>
      <c r="B29" s="8" t="n">
        <v>0.8</v>
      </c>
      <c r="C29" s="3" t="s">
        <v>43</v>
      </c>
    </row>
    <row r="30" customFormat="false" ht="15" hidden="false" customHeight="true" outlineLevel="0" collapsed="false">
      <c r="A30" s="4" t="s">
        <v>44</v>
      </c>
      <c r="C30" s="3"/>
    </row>
    <row r="31" customFormat="false" ht="15" hidden="false" customHeight="true" outlineLevel="0" collapsed="false">
      <c r="A31" s="5" t="s">
        <v>45</v>
      </c>
      <c r="B31" s="9" t="n">
        <v>650000</v>
      </c>
      <c r="C31" s="3" t="s">
        <v>46</v>
      </c>
    </row>
    <row r="32" customFormat="false" ht="15" hidden="false" customHeight="true" outlineLevel="0" collapsed="false">
      <c r="A32" s="5" t="s">
        <v>47</v>
      </c>
      <c r="B32" s="10" t="n">
        <v>1500000</v>
      </c>
      <c r="C32" s="3" t="s">
        <v>48</v>
      </c>
    </row>
    <row r="33" customFormat="false" ht="15" hidden="false" customHeight="true" outlineLevel="0" collapsed="false">
      <c r="A33" s="5" t="s">
        <v>49</v>
      </c>
      <c r="B33" s="10" t="n">
        <v>2500000</v>
      </c>
      <c r="C33" s="3" t="s">
        <v>48</v>
      </c>
    </row>
    <row r="34" customFormat="false" ht="15" hidden="false" customHeight="true" outlineLevel="0" collapsed="false">
      <c r="A34" s="5" t="s">
        <v>50</v>
      </c>
      <c r="B34" s="8" t="n">
        <v>0.12</v>
      </c>
      <c r="C34" s="3" t="s">
        <v>51</v>
      </c>
    </row>
    <row r="36" customFormat="false" ht="15" hidden="false" customHeight="true" outlineLevel="0" collapsed="false">
      <c r="A36" s="4" t="s">
        <v>52</v>
      </c>
    </row>
    <row r="37" customFormat="false" ht="15" hidden="false" customHeight="true" outlineLevel="0" collapsed="false">
      <c r="A37" s="11" t="s">
        <v>53</v>
      </c>
      <c r="B37" s="11" t="s">
        <v>54</v>
      </c>
      <c r="C37" s="11" t="s">
        <v>55</v>
      </c>
    </row>
    <row r="38" customFormat="false" ht="15" hidden="false" customHeight="true" outlineLevel="0" collapsed="false">
      <c r="A38" s="1" t="s">
        <v>56</v>
      </c>
      <c r="B38" s="12" t="n">
        <f aca="false">1</f>
        <v>1</v>
      </c>
      <c r="C38" s="12" t="n">
        <f aca="false">0</f>
        <v>0</v>
      </c>
    </row>
    <row r="39" customFormat="false" ht="15" hidden="false" customHeight="true" outlineLevel="0" collapsed="false">
      <c r="A39" s="1" t="str">
        <f aca="false">"8% annual preferred (accrued "&amp;TEXT($B$21*$C$48/12,"0%")&amp;" over the stabilized hold), on unreturned capital"</f>
        <v>8% annual preferred (accrued 16% over the stabilized hold), on unreturned capital</v>
      </c>
      <c r="B39" s="12" t="n">
        <f aca="false">1</f>
        <v>1</v>
      </c>
      <c r="C39" s="12" t="n">
        <f aca="false">0</f>
        <v>0</v>
      </c>
    </row>
    <row r="40" customFormat="false" ht="15" hidden="false" customHeight="true" outlineLevel="0" collapsed="false">
      <c r="A40" s="1" t="str">
        <f aca="false">"Remaining profit until the investor reaches a "&amp;TEXT($B$22,"0%")&amp;" total return"</f>
        <v>Remaining profit until the investor reaches a 20% total return</v>
      </c>
      <c r="B40" s="12" t="n">
        <f aca="false">$B$23</f>
        <v>0.7</v>
      </c>
      <c r="C40" s="12" t="n">
        <f aca="false">1-$B$23</f>
        <v>0.3</v>
      </c>
    </row>
    <row r="41" customFormat="false" ht="15" hidden="false" customHeight="true" outlineLevel="0" collapsed="false">
      <c r="A41" s="1" t="str">
        <f aca="false">"Profit above a "&amp;TEXT($B$22,"0%")&amp;" total return"</f>
        <v>Profit above a 20% total return</v>
      </c>
      <c r="B41" s="12" t="n">
        <f aca="false">$B$24</f>
        <v>0.5</v>
      </c>
      <c r="C41" s="12" t="n">
        <f aca="false">1-$B$24</f>
        <v>0.5</v>
      </c>
    </row>
    <row r="42" customFormat="false" ht="15" hidden="false" customHeight="true" outlineLevel="0" collapsed="false">
      <c r="A42" s="3" t="s">
        <v>57</v>
      </c>
    </row>
    <row r="44" customFormat="false" ht="15" hidden="false" customHeight="true" outlineLevel="0" collapsed="false">
      <c r="A44" s="4" t="s">
        <v>58</v>
      </c>
    </row>
    <row r="45" customFormat="false" ht="26.25" hidden="false" customHeight="true" outlineLevel="0" collapsed="false">
      <c r="A45" s="13" t="s">
        <v>59</v>
      </c>
      <c r="B45" s="13" t="s">
        <v>60</v>
      </c>
      <c r="C45" s="13" t="s">
        <v>61</v>
      </c>
      <c r="D45" s="13" t="s">
        <v>62</v>
      </c>
      <c r="E45" s="13" t="s">
        <v>63</v>
      </c>
    </row>
    <row r="46" customFormat="false" ht="15" hidden="false" customHeight="true" outlineLevel="0" collapsed="false">
      <c r="A46" s="1" t="s">
        <v>64</v>
      </c>
      <c r="B46" s="14" t="n">
        <v>0.1</v>
      </c>
      <c r="C46" s="15" t="n">
        <v>9</v>
      </c>
      <c r="D46" s="16" t="n">
        <v>0.2</v>
      </c>
      <c r="E46" s="14" t="n">
        <v>0.15</v>
      </c>
    </row>
    <row r="47" customFormat="false" ht="15" hidden="false" customHeight="true" outlineLevel="0" collapsed="false">
      <c r="A47" s="1" t="s">
        <v>65</v>
      </c>
      <c r="B47" s="14" t="n">
        <v>0.2</v>
      </c>
      <c r="C47" s="15" t="n">
        <v>15</v>
      </c>
      <c r="D47" s="16" t="n">
        <v>0.5</v>
      </c>
      <c r="E47" s="14" t="n">
        <v>0.9</v>
      </c>
    </row>
    <row r="48" customFormat="false" ht="15" hidden="false" customHeight="true" outlineLevel="0" collapsed="false">
      <c r="A48" s="1" t="s">
        <v>66</v>
      </c>
      <c r="B48" s="14" t="n">
        <v>0.6</v>
      </c>
      <c r="C48" s="6" t="n">
        <v>24</v>
      </c>
      <c r="D48" s="14" t="n">
        <v>1</v>
      </c>
      <c r="E48" s="14" t="n">
        <v>1</v>
      </c>
    </row>
    <row r="49" customFormat="false" ht="15" hidden="false" customHeight="true" outlineLevel="0" collapsed="false">
      <c r="A49" s="1" t="s">
        <v>67</v>
      </c>
      <c r="B49" s="14" t="n">
        <v>0.1</v>
      </c>
      <c r="E49" s="14" t="n">
        <v>1</v>
      </c>
    </row>
    <row r="50" customFormat="false" ht="15" hidden="false" customHeight="true" outlineLevel="0" collapsed="false">
      <c r="A50" s="1" t="s">
        <v>68</v>
      </c>
      <c r="B50" s="17" t="n">
        <f aca="false">SUM(B46:B49)</f>
        <v>1</v>
      </c>
    </row>
    <row r="51" customFormat="false" ht="15" hidden="false" customHeight="true" outlineLevel="0" collapsed="false">
      <c r="A51" s="3" t="s">
        <v>69</v>
      </c>
    </row>
    <row r="53" customFormat="false" ht="15" hidden="false" customHeight="true" outlineLevel="0" collapsed="false">
      <c r="A53" s="1" t="s">
        <v>70</v>
      </c>
      <c r="B53" s="15" t="n">
        <v>15</v>
      </c>
      <c r="C53" s="3" t="s">
        <v>71</v>
      </c>
    </row>
    <row r="55" customFormat="false" ht="15" hidden="false" customHeight="true" outlineLevel="0" collapsed="false">
      <c r="A55" s="4" t="s">
        <v>72</v>
      </c>
    </row>
    <row r="56" customFormat="false" ht="15" hidden="false" customHeight="true" outlineLevel="0" collapsed="false">
      <c r="A56" s="1" t="s">
        <v>73</v>
      </c>
      <c r="B56" s="7" t="n">
        <v>0.6</v>
      </c>
      <c r="C56" s="3" t="s">
        <v>74</v>
      </c>
    </row>
    <row r="57" customFormat="false" ht="15" hidden="false" customHeight="true" outlineLevel="0" collapsed="false">
      <c r="A57" s="1" t="s">
        <v>75</v>
      </c>
      <c r="B57" s="7" t="n">
        <v>0.085</v>
      </c>
    </row>
    <row r="59" customFormat="false" ht="15" hidden="false" customHeight="true" outlineLevel="0" collapsed="false">
      <c r="A59" s="4" t="s">
        <v>76</v>
      </c>
    </row>
    <row r="60" customFormat="false" ht="15" hidden="false" customHeight="true" outlineLevel="0" collapsed="false">
      <c r="A60" s="1" t="s">
        <v>77</v>
      </c>
      <c r="B60" s="15" t="n">
        <v>3</v>
      </c>
      <c r="C60" s="3" t="s">
        <v>78</v>
      </c>
    </row>
    <row r="61" customFormat="false" ht="15" hidden="false" customHeight="true" outlineLevel="0" collapsed="false">
      <c r="A61" s="1" t="s">
        <v>79</v>
      </c>
      <c r="B61" s="9" t="n">
        <v>25000</v>
      </c>
      <c r="C61" s="3" t="s">
        <v>80</v>
      </c>
    </row>
    <row r="63" customFormat="false" ht="15" hidden="false" customHeight="true" outlineLevel="0" collapsed="false">
      <c r="A63" s="4" t="s">
        <v>81</v>
      </c>
    </row>
    <row r="64" customFormat="false" ht="15" hidden="false" customHeight="true" outlineLevel="0" collapsed="false">
      <c r="A64" s="1" t="s">
        <v>82</v>
      </c>
      <c r="B64" s="7" t="n">
        <v>0.2</v>
      </c>
      <c r="C64" s="3" t="s">
        <v>83</v>
      </c>
    </row>
    <row r="65" customFormat="false" ht="15" hidden="false" customHeight="true" outlineLevel="0" collapsed="false">
      <c r="A65" s="1" t="s">
        <v>84</v>
      </c>
      <c r="B65" s="7" t="n">
        <v>0.08</v>
      </c>
      <c r="C65" s="3" t="s">
        <v>85</v>
      </c>
    </row>
    <row r="66" customFormat="false" ht="15" hidden="false" customHeight="true" outlineLevel="0" collapsed="false">
      <c r="A66" s="1" t="s">
        <v>86</v>
      </c>
      <c r="B66" s="7" t="n">
        <v>0.15</v>
      </c>
      <c r="C66" s="3" t="s">
        <v>87</v>
      </c>
    </row>
    <row r="67" customFormat="false" ht="15" hidden="false" customHeight="true" outlineLevel="0" collapsed="false">
      <c r="A67" s="1" t="s">
        <v>88</v>
      </c>
      <c r="B67" s="15" t="n">
        <v>8</v>
      </c>
    </row>
    <row r="68" customFormat="false" ht="15" hidden="false" customHeight="true" outlineLevel="0" collapsed="false">
      <c r="A68" s="3" t="s">
        <v>89</v>
      </c>
    </row>
    <row r="70" customFormat="false" ht="15" hidden="false" customHeight="true" outlineLevel="0" collapsed="false">
      <c r="A70" s="4" t="s">
        <v>90</v>
      </c>
      <c r="B70" s="15" t="n">
        <v>1</v>
      </c>
      <c r="C70" s="3" t="s">
        <v>91</v>
      </c>
    </row>
    <row r="72" customFormat="false" ht="15" hidden="false" customHeight="true" outlineLevel="0" collapsed="false">
      <c r="A72" s="4" t="s">
        <v>92</v>
      </c>
    </row>
    <row r="73" customFormat="false" ht="15" hidden="false" customHeight="true" outlineLevel="0" collapsed="false">
      <c r="A73" s="11" t="s">
        <v>59</v>
      </c>
      <c r="B73" s="11" t="s">
        <v>93</v>
      </c>
      <c r="C73" s="11" t="s">
        <v>94</v>
      </c>
      <c r="D73" s="11" t="s">
        <v>95</v>
      </c>
      <c r="E73" s="11" t="s">
        <v>96</v>
      </c>
    </row>
    <row r="74" customFormat="false" ht="15" hidden="false" customHeight="true" outlineLevel="0" collapsed="false">
      <c r="A74" s="1" t="s">
        <v>97</v>
      </c>
      <c r="B74" s="16" t="n">
        <v>0.1</v>
      </c>
      <c r="C74" s="16" t="n">
        <v>0.1</v>
      </c>
      <c r="D74" s="16" t="n">
        <v>0.05</v>
      </c>
      <c r="E74" s="16" t="n">
        <v>1</v>
      </c>
    </row>
    <row r="75" customFormat="false" ht="15" hidden="false" customHeight="true" outlineLevel="0" collapsed="false">
      <c r="A75" s="1" t="s">
        <v>98</v>
      </c>
      <c r="B75" s="16" t="n">
        <v>0.2</v>
      </c>
      <c r="C75" s="16" t="n">
        <v>0.2</v>
      </c>
      <c r="D75" s="16" t="n">
        <v>0.15</v>
      </c>
      <c r="E75" s="16" t="n">
        <v>0</v>
      </c>
    </row>
    <row r="76" customFormat="false" ht="15" hidden="false" customHeight="true" outlineLevel="0" collapsed="false">
      <c r="A76" s="1" t="s">
        <v>99</v>
      </c>
      <c r="B76" s="16" t="n">
        <v>0.6</v>
      </c>
      <c r="C76" s="16" t="n">
        <v>0.6</v>
      </c>
      <c r="D76" s="16" t="n">
        <v>0.7</v>
      </c>
      <c r="E76" s="16" t="n">
        <v>0</v>
      </c>
    </row>
    <row r="77" customFormat="false" ht="15" hidden="false" customHeight="true" outlineLevel="0" collapsed="false">
      <c r="A77" s="1" t="s">
        <v>100</v>
      </c>
      <c r="B77" s="16" t="n">
        <v>0.1</v>
      </c>
      <c r="C77" s="16" t="n">
        <v>0.1</v>
      </c>
      <c r="D77" s="16" t="n">
        <v>0.1</v>
      </c>
      <c r="E77" s="16" t="n">
        <v>0</v>
      </c>
    </row>
    <row r="78" customFormat="false" ht="15" hidden="false" customHeight="true" outlineLevel="0" collapsed="false">
      <c r="A78" s="1" t="s">
        <v>101</v>
      </c>
      <c r="B78" s="17" t="n">
        <f aca="false">SUM(B74:B77)</f>
        <v>1</v>
      </c>
      <c r="C78" s="17" t="n">
        <f aca="false">SUM(C74:C77)</f>
        <v>1</v>
      </c>
      <c r="D78" s="17" t="n">
        <f aca="false">SUM(D74:D77)</f>
        <v>1</v>
      </c>
      <c r="E78" s="17" t="n">
        <f aca="false">SUM(E74:E77)</f>
        <v>1</v>
      </c>
    </row>
    <row r="79" customFormat="false" ht="15" hidden="false" customHeight="true" outlineLevel="0" collapsed="false">
      <c r="A79" s="3" t="s">
        <v>102</v>
      </c>
    </row>
    <row r="81" customFormat="false" ht="15" hidden="false" customHeight="true" outlineLevel="0" collapsed="false">
      <c r="A81" s="4" t="s">
        <v>103</v>
      </c>
    </row>
    <row r="82" customFormat="false" ht="15" hidden="false" customHeight="true" outlineLevel="0" collapsed="false">
      <c r="A82" s="11"/>
      <c r="B82" s="11" t="s">
        <v>93</v>
      </c>
      <c r="C82" s="11" t="s">
        <v>94</v>
      </c>
      <c r="D82" s="11" t="s">
        <v>95</v>
      </c>
      <c r="E82" s="11" t="s">
        <v>96</v>
      </c>
    </row>
    <row r="83" customFormat="false" ht="15" hidden="false" customHeight="true" outlineLevel="0" collapsed="false">
      <c r="A83" s="1" t="s">
        <v>104</v>
      </c>
      <c r="B83" s="16" t="n">
        <v>0.2</v>
      </c>
      <c r="C83" s="16" t="n">
        <v>0.2</v>
      </c>
      <c r="D83" s="16" t="n">
        <v>0.2</v>
      </c>
      <c r="E83" s="16" t="n">
        <v>0.35</v>
      </c>
    </row>
    <row r="84" customFormat="false" ht="15" hidden="false" customHeight="true" outlineLevel="0" collapsed="false">
      <c r="A84" s="3" t="s">
        <v>105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2"/>
    <col collapsed="false" customWidth="true" hidden="false" outlineLevel="0" max="4" min="2" style="1" width="18"/>
  </cols>
  <sheetData>
    <row r="1" customFormat="false" ht="15.75" hidden="false" customHeight="true" outlineLevel="0" collapsed="false">
      <c r="A1" s="30" t="s">
        <v>381</v>
      </c>
    </row>
    <row r="2" customFormat="false" ht="15" hidden="false" customHeight="true" outlineLevel="0" collapsed="false">
      <c r="A2" s="3" t="s">
        <v>382</v>
      </c>
    </row>
    <row r="4" customFormat="false" ht="15" hidden="false" customHeight="true" outlineLevel="0" collapsed="false">
      <c r="A4" s="4" t="s">
        <v>383</v>
      </c>
    </row>
    <row r="5" customFormat="false" ht="15" hidden="false" customHeight="true" outlineLevel="0" collapsed="false">
      <c r="A5" s="1" t="s">
        <v>384</v>
      </c>
      <c r="B5" s="7" t="n">
        <v>0.25</v>
      </c>
    </row>
    <row r="6" customFormat="false" ht="15" hidden="false" customHeight="true" outlineLevel="0" collapsed="false">
      <c r="A6" s="1" t="s">
        <v>385</v>
      </c>
      <c r="B6" s="50" t="n">
        <v>5</v>
      </c>
    </row>
    <row r="7" customFormat="false" ht="15" hidden="false" customHeight="true" outlineLevel="0" collapsed="false">
      <c r="A7" s="1" t="s">
        <v>386</v>
      </c>
      <c r="B7" s="50" t="n">
        <v>3</v>
      </c>
    </row>
    <row r="8" customFormat="false" ht="15" hidden="false" customHeight="true" outlineLevel="0" collapsed="false">
      <c r="A8" s="1" t="s">
        <v>387</v>
      </c>
      <c r="B8" s="7" t="n">
        <v>0.2</v>
      </c>
    </row>
    <row r="9" customFormat="false" ht="15" hidden="false" customHeight="true" outlineLevel="0" collapsed="false">
      <c r="A9" s="1" t="s">
        <v>388</v>
      </c>
      <c r="B9" s="51" t="n">
        <v>1.5</v>
      </c>
    </row>
    <row r="10" customFormat="false" ht="15" hidden="false" customHeight="true" outlineLevel="0" collapsed="false">
      <c r="A10" s="1" t="s">
        <v>389</v>
      </c>
      <c r="B10" s="7" t="n">
        <v>0.35</v>
      </c>
    </row>
    <row r="11" customFormat="false" ht="15" hidden="false" customHeight="true" outlineLevel="0" collapsed="false">
      <c r="A11" s="3" t="s">
        <v>390</v>
      </c>
    </row>
    <row r="13" customFormat="false" ht="15" hidden="false" customHeight="true" outlineLevel="0" collapsed="false">
      <c r="A13" s="4" t="s">
        <v>391</v>
      </c>
    </row>
    <row r="14" customFormat="false" ht="15" hidden="false" customHeight="true" outlineLevel="0" collapsed="false">
      <c r="A14" s="11" t="s">
        <v>392</v>
      </c>
      <c r="B14" s="11" t="s">
        <v>316</v>
      </c>
      <c r="C14" s="11" t="s">
        <v>393</v>
      </c>
      <c r="D14" s="11" t="s">
        <v>394</v>
      </c>
    </row>
    <row r="15" customFormat="false" ht="15" hidden="false" customHeight="true" outlineLevel="0" collapsed="false">
      <c r="A15" s="1" t="s">
        <v>395</v>
      </c>
      <c r="B15" s="21" t="n">
        <f aca="false">Annual!D16-Annual!D18</f>
        <v>15897518.2632128</v>
      </c>
      <c r="C15" s="21" t="n">
        <f aca="false">B15*(1-$B$5)</f>
        <v>11923138.6974096</v>
      </c>
      <c r="D15" s="21" t="n">
        <f aca="false">C15*$B$6</f>
        <v>59615693.487048</v>
      </c>
    </row>
    <row r="16" customFormat="false" ht="15" hidden="false" customHeight="true" outlineLevel="0" collapsed="false">
      <c r="A16" s="1" t="s">
        <v>396</v>
      </c>
      <c r="B16" s="21" t="n">
        <f aca="false">Annual!D17</f>
        <v>13946085.4786904</v>
      </c>
      <c r="C16" s="21" t="n">
        <f aca="false">B16*(1-$B$5)</f>
        <v>10459564.1090178</v>
      </c>
      <c r="D16" s="21" t="n">
        <f aca="false">C16*$B$7</f>
        <v>31378692.3270534</v>
      </c>
    </row>
    <row r="17" customFormat="false" ht="15" hidden="false" customHeight="true" outlineLevel="0" collapsed="false">
      <c r="A17" s="4" t="s">
        <v>397</v>
      </c>
      <c r="D17" s="27" t="n">
        <f aca="false">D15+D16</f>
        <v>90994385.8141014</v>
      </c>
    </row>
    <row r="18" customFormat="false" ht="15" hidden="false" customHeight="true" outlineLevel="0" collapsed="false">
      <c r="A18" s="1" t="s">
        <v>398</v>
      </c>
      <c r="D18" s="21" t="n">
        <f aca="false">-D17*$B$10</f>
        <v>-31848035.0349355</v>
      </c>
    </row>
    <row r="19" customFormat="false" ht="15" hidden="false" customHeight="true" outlineLevel="0" collapsed="false">
      <c r="A19" s="4" t="s">
        <v>399</v>
      </c>
      <c r="D19" s="27" t="n">
        <f aca="false">D17+D18</f>
        <v>59146350.7791659</v>
      </c>
    </row>
    <row r="21" customFormat="false" ht="15" hidden="false" customHeight="true" outlineLevel="0" collapsed="false">
      <c r="A21" s="4" t="s">
        <v>400</v>
      </c>
    </row>
    <row r="22" customFormat="false" ht="15" hidden="false" customHeight="true" outlineLevel="0" collapsed="false">
      <c r="A22" s="1" t="s">
        <v>401</v>
      </c>
      <c r="B22" s="1" t="n">
        <f aca="false">Annual!B24</f>
        <v>183.48</v>
      </c>
    </row>
    <row r="23" customFormat="false" ht="15" hidden="false" customHeight="true" outlineLevel="0" collapsed="false">
      <c r="A23" s="1" t="s">
        <v>402</v>
      </c>
      <c r="B23" s="1" t="n">
        <f aca="false">B22*(1-Assumptions!$B$64)</f>
        <v>146.784</v>
      </c>
    </row>
    <row r="24" customFormat="false" ht="15" hidden="false" customHeight="true" outlineLevel="0" collapsed="false">
      <c r="A24" s="1" t="s">
        <v>403</v>
      </c>
      <c r="B24" s="21" t="n">
        <f aca="false">Assumptions!$B$46*PerDeal!$B$57+Assumptions!$B$47*PerDeal!$B$58+Assumptions!$B$48*PerDeal!$B$59</f>
        <v>336297.465435954</v>
      </c>
    </row>
    <row r="25" customFormat="false" ht="15" hidden="false" customHeight="true" outlineLevel="0" collapsed="false">
      <c r="A25" s="1" t="s">
        <v>404</v>
      </c>
      <c r="B25" s="21" t="n">
        <f aca="false">B23*B24</f>
        <v>49363087.166551</v>
      </c>
    </row>
    <row r="26" customFormat="false" ht="15" hidden="false" customHeight="true" outlineLevel="0" collapsed="false">
      <c r="A26" s="1" t="s">
        <v>405</v>
      </c>
      <c r="B26" s="21" t="n">
        <f aca="false">B25/(1+$B$8)^$B$9</f>
        <v>37551772.7072414</v>
      </c>
    </row>
    <row r="27" customFormat="false" ht="15" hidden="false" customHeight="true" outlineLevel="0" collapsed="false">
      <c r="A27" s="1" t="s">
        <v>393</v>
      </c>
      <c r="B27" s="21" t="n">
        <f aca="false">B26*(1-$B$5)</f>
        <v>28163829.530431</v>
      </c>
    </row>
    <row r="28" customFormat="false" ht="15" hidden="false" customHeight="true" outlineLevel="0" collapsed="false">
      <c r="A28" s="4" t="s">
        <v>406</v>
      </c>
      <c r="B28" s="27" t="n">
        <f aca="false">B27</f>
        <v>28163829.530431</v>
      </c>
    </row>
    <row r="30" customFormat="false" ht="15" hidden="false" customHeight="true" outlineLevel="0" collapsed="false">
      <c r="A30" s="4" t="s">
        <v>407</v>
      </c>
    </row>
    <row r="31" customFormat="false" ht="15" hidden="false" customHeight="true" outlineLevel="0" collapsed="false">
      <c r="A31" s="11" t="s">
        <v>408</v>
      </c>
      <c r="B31" s="11" t="s">
        <v>394</v>
      </c>
    </row>
    <row r="32" customFormat="false" ht="15" hidden="false" customHeight="true" outlineLevel="0" collapsed="false">
      <c r="A32" s="1" t="s">
        <v>409</v>
      </c>
      <c r="B32" s="21" t="n">
        <f aca="false">B28</f>
        <v>28163829.530431</v>
      </c>
    </row>
    <row r="33" customFormat="false" ht="15" hidden="false" customHeight="true" outlineLevel="0" collapsed="false">
      <c r="A33" s="1" t="s">
        <v>410</v>
      </c>
      <c r="B33" s="21" t="n">
        <f aca="false">D19</f>
        <v>59146350.7791659</v>
      </c>
    </row>
    <row r="34" customFormat="false" ht="15" hidden="false" customHeight="true" outlineLevel="0" collapsed="false">
      <c r="A34" s="4" t="s">
        <v>411</v>
      </c>
      <c r="B34" s="27" t="n">
        <f aca="false">AVERAGE(B32:B33)</f>
        <v>43655090.1547985</v>
      </c>
    </row>
    <row r="36" customFormat="false" ht="15" hidden="false" customHeight="true" outlineLevel="0" collapsed="false">
      <c r="A36" s="4" t="s">
        <v>412</v>
      </c>
    </row>
    <row r="37" customFormat="false" ht="15" hidden="false" customHeight="true" outlineLevel="0" collapsed="false">
      <c r="A37" s="1" t="s">
        <v>413</v>
      </c>
      <c r="B37" s="9" t="n">
        <v>4000000</v>
      </c>
    </row>
    <row r="38" customFormat="false" ht="15" hidden="false" customHeight="true" outlineLevel="0" collapsed="false">
      <c r="A38" s="1" t="s">
        <v>414</v>
      </c>
      <c r="B38" s="52" t="n">
        <f aca="false">D19/B37</f>
        <v>14.7865876947915</v>
      </c>
    </row>
    <row r="39" customFormat="false" ht="15" hidden="false" customHeight="true" outlineLevel="0" collapsed="false">
      <c r="A39" s="3" t="s">
        <v>415</v>
      </c>
    </row>
    <row r="41" customFormat="false" ht="15" hidden="false" customHeight="true" outlineLevel="0" collapsed="false">
      <c r="A41" s="3" t="s">
        <v>416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W6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8"/>
    <col collapsed="false" customWidth="true" hidden="false" outlineLevel="0" max="7" min="2" style="1" width="13"/>
    <col collapsed="false" customWidth="true" hidden="false" outlineLevel="0" max="8" min="8" style="1" width="14"/>
    <col collapsed="false" customWidth="true" hidden="false" outlineLevel="0" max="10" min="9" style="1" width="13"/>
    <col collapsed="false" customWidth="true" hidden="false" outlineLevel="0" max="11" min="11" style="1" width="14"/>
    <col collapsed="false" customWidth="true" hidden="false" outlineLevel="0" max="14" min="12" style="1" width="13"/>
    <col collapsed="false" customWidth="true" hidden="false" outlineLevel="0" max="15" min="15" style="1" width="12"/>
    <col collapsed="false" customWidth="true" hidden="false" outlineLevel="0" max="19" min="19" style="1" width="16"/>
    <col collapsed="false" customWidth="true" hidden="false" outlineLevel="0" max="20" min="20" style="1" width="20"/>
    <col collapsed="false" customWidth="true" hidden="false" outlineLevel="0" max="21" min="21" style="1" width="16"/>
  </cols>
  <sheetData>
    <row r="1" customFormat="false" ht="15" hidden="false" customHeight="true" outlineLevel="0" collapsed="false">
      <c r="A1" s="18" t="s">
        <v>106</v>
      </c>
    </row>
    <row r="3" customFormat="false" ht="39" hidden="false" customHeight="true" outlineLevel="0" collapsed="false">
      <c r="A3" s="13" t="s">
        <v>107</v>
      </c>
      <c r="B3" s="13" t="s">
        <v>108</v>
      </c>
      <c r="C3" s="13" t="s">
        <v>109</v>
      </c>
      <c r="D3" s="13" t="s">
        <v>110</v>
      </c>
      <c r="E3" s="13" t="s">
        <v>111</v>
      </c>
      <c r="F3" s="13" t="s">
        <v>112</v>
      </c>
      <c r="G3" s="13" t="s">
        <v>113</v>
      </c>
      <c r="H3" s="13" t="s">
        <v>114</v>
      </c>
      <c r="I3" s="13" t="s">
        <v>115</v>
      </c>
      <c r="J3" s="13" t="s">
        <v>116</v>
      </c>
      <c r="K3" s="13" t="s">
        <v>117</v>
      </c>
      <c r="L3" s="13" t="s">
        <v>118</v>
      </c>
      <c r="M3" s="13" t="s">
        <v>119</v>
      </c>
      <c r="N3" s="13" t="s">
        <v>120</v>
      </c>
      <c r="O3" s="11"/>
      <c r="Q3" s="3" t="s">
        <v>121</v>
      </c>
      <c r="R3" s="3" t="s">
        <v>122</v>
      </c>
      <c r="S3" s="3" t="s">
        <v>123</v>
      </c>
      <c r="T3" s="3" t="s">
        <v>124</v>
      </c>
      <c r="U3" s="3" t="s">
        <v>125</v>
      </c>
      <c r="V3" s="1" t="s">
        <v>126</v>
      </c>
      <c r="W3" s="1" t="s">
        <v>127</v>
      </c>
    </row>
    <row r="4" customFormat="false" ht="15" hidden="false" customHeight="true" outlineLevel="0" collapsed="false">
      <c r="A4" s="5" t="s">
        <v>93</v>
      </c>
      <c r="B4" s="9" t="n">
        <v>2017991.19</v>
      </c>
      <c r="C4" s="9" t="n">
        <v>237600</v>
      </c>
      <c r="D4" s="19" t="n">
        <f aca="false">C4/IF(Assumptions!$B$70=1,U4,S4)</f>
        <v>3277241.37931035</v>
      </c>
      <c r="E4" s="20" t="n">
        <f aca="false">C4/B4</f>
        <v>0.117740850989543</v>
      </c>
      <c r="F4" s="21" t="n">
        <f aca="false">D4*(1-Assumptions!$B$25)</f>
        <v>3146151.72413793</v>
      </c>
      <c r="G4" s="21" t="n">
        <f aca="false">F4-B4</f>
        <v>1128160.53413793</v>
      </c>
      <c r="H4" s="21" t="n">
        <f aca="false">Assumptions!$B$21*B4*(Assumptions!$C$48/12)</f>
        <v>322878.5904</v>
      </c>
      <c r="I4" s="21" t="n">
        <f aca="false">IF(G4&lt;=H4,0,(1-Assumptions!$B$23)*MIN(G4-H4,MAX(Assumptions!$B$22*B4-H4,0)/Assumptions!$B$23)+(1-Assumptions!$B$24)*MAX(G4-H4-MIN(G4-H4,MAX(Assumptions!$B$22*B4-H4,0)/Assumptions!$B$23),0))</f>
        <v>379578.215411823</v>
      </c>
      <c r="J4" s="21" t="n">
        <f aca="false">G4-I4</f>
        <v>748582.318726108</v>
      </c>
      <c r="K4" s="20" t="n">
        <f aca="false">J4/B4</f>
        <v>0.370954205566234</v>
      </c>
      <c r="L4" s="21" t="n">
        <f aca="false">Assumptions!$B$19*G4</f>
        <v>564080.267068966</v>
      </c>
      <c r="M4" s="21" t="n">
        <f aca="false">IF(L4&lt;=Assumptions!$B$21*B4*(Assumptions!$B$17/12),0,(1-Assumptions!$B$23)*MIN(L4-Assumptions!$B$21*B4*(Assumptions!$B$17/12),MAX(Assumptions!$B$22*B4-Assumptions!$B$21*B4*(Assumptions!$B$17/12),0)/Assumptions!$B$23)+(1-Assumptions!$B$24)*MAX(L4-Assumptions!$B$21*B4*(Assumptions!$B$17/12)-MIN(L4-Assumptions!$B$21*B4*(Assumptions!$B$17/12),MAX(Assumptions!$B$22*B4-Assumptions!$B$21*B4*(Assumptions!$B$17/12),0)/Assumptions!$B$23),0))</f>
        <v>132132.216563054</v>
      </c>
      <c r="N4" s="21" t="n">
        <f aca="false">L4-M4</f>
        <v>431948.050505911</v>
      </c>
      <c r="Q4" s="22" t="n">
        <f aca="false">Assumptions!$B$11/(Assumptions!$B$11+Assumptions!$B$12+Assumptions!$B$13+Assumptions!$B$14)</f>
        <v>0.375</v>
      </c>
      <c r="R4" s="23" t="n">
        <f aca="false">C4/D4</f>
        <v>0.0725</v>
      </c>
      <c r="S4" s="23" t="n">
        <f aca="false">C4/T4</f>
        <v>0.0659817137178907</v>
      </c>
      <c r="T4" s="24" t="n">
        <v>3600997.71</v>
      </c>
      <c r="U4" s="25" t="n">
        <v>0.0725</v>
      </c>
      <c r="V4" s="26" t="n">
        <f aca="false">(E4-R4)*10000</f>
        <v>452.408509895427</v>
      </c>
      <c r="W4" s="1" t="str">
        <f aca="false">IF(V4&gt;=150,"OK","THIN")</f>
        <v>OK</v>
      </c>
    </row>
    <row r="5" customFormat="false" ht="15" hidden="false" customHeight="true" outlineLevel="0" collapsed="false">
      <c r="A5" s="5" t="s">
        <v>94</v>
      </c>
      <c r="B5" s="9" t="n">
        <v>2690631.76</v>
      </c>
      <c r="C5" s="9" t="n">
        <v>317400</v>
      </c>
      <c r="D5" s="19" t="n">
        <f aca="false">C5/IF(Assumptions!$B$70=1,U5,S5)</f>
        <v>4377931.03448276</v>
      </c>
      <c r="E5" s="20" t="n">
        <f aca="false">C5/B5</f>
        <v>0.117964860416276</v>
      </c>
      <c r="F5" s="21" t="n">
        <f aca="false">D5*(1-Assumptions!$B$25)</f>
        <v>4202813.79310345</v>
      </c>
      <c r="G5" s="21" t="n">
        <f aca="false">F5-B5</f>
        <v>1512182.03310345</v>
      </c>
      <c r="H5" s="21" t="n">
        <f aca="false">Assumptions!$B$21*B5*(Assumptions!$C$48/12)</f>
        <v>430501.0816</v>
      </c>
      <c r="I5" s="21" t="n">
        <f aca="false">IF(G5&lt;=H5,0,(1-Assumptions!$B$23)*MIN(G5-H5,MAX(Assumptions!$B$22*B5-H5,0)/Assumptions!$B$23)+(1-Assumptions!$B$24)*MAX(G5-H5-MIN(G5-H5,MAX(Assumptions!$B$22*B5-H5,0)/Assumptions!$B$23),0))</f>
        <v>510090.398494581</v>
      </c>
      <c r="J5" s="21" t="n">
        <f aca="false">G5-I5</f>
        <v>1002091.63460887</v>
      </c>
      <c r="K5" s="20" t="n">
        <f aca="false">J5/B5</f>
        <v>0.37243730246047</v>
      </c>
      <c r="L5" s="21" t="n">
        <f aca="false">Assumptions!$B$19*G5</f>
        <v>756091.016551724</v>
      </c>
      <c r="M5" s="21" t="n">
        <f aca="false">IF(L5&lt;=Assumptions!$B$21*B5*(Assumptions!$B$17/12),0,(1-Assumptions!$B$23)*MIN(L5-Assumptions!$B$21*B5*(Assumptions!$B$17/12),MAX(Assumptions!$B$22*B5-Assumptions!$B$21*B5*(Assumptions!$B$17/12),0)/Assumptions!$B$23)+(1-Assumptions!$B$24)*MAX(L5-Assumptions!$B$21*B5*(Assumptions!$B$17/12)-MIN(L5-Assumptions!$B$21*B5*(Assumptions!$B$17/12),MAX(Assumptions!$B$22*B5-Assumptions!$B$21*B5*(Assumptions!$B$17/12),0)/Assumptions!$B$23),0))</f>
        <v>178170.006104434</v>
      </c>
      <c r="N5" s="21" t="n">
        <f aca="false">L5-M5</f>
        <v>577921.010447291</v>
      </c>
      <c r="Q5" s="22" t="n">
        <f aca="false">Assumptions!$B$12/(Assumptions!$B$11+Assumptions!$B$12+Assumptions!$B$13+Assumptions!$B$14)</f>
        <v>0.375</v>
      </c>
      <c r="R5" s="23" t="n">
        <f aca="false">C5/D5</f>
        <v>0.0725</v>
      </c>
      <c r="S5" s="23" t="n">
        <f aca="false">C5/T5</f>
        <v>0.0659817136981474</v>
      </c>
      <c r="T5" s="24" t="n">
        <v>4810423.71</v>
      </c>
      <c r="U5" s="25" t="n">
        <v>0.0725</v>
      </c>
      <c r="V5" s="26" t="n">
        <f aca="false">(E5-R5)*10000</f>
        <v>454.648604162764</v>
      </c>
      <c r="W5" s="1" t="str">
        <f aca="false">IF(V5&gt;=150,"OK","THIN")</f>
        <v>OK</v>
      </c>
    </row>
    <row r="6" customFormat="false" ht="15" hidden="false" customHeight="true" outlineLevel="0" collapsed="false">
      <c r="A6" s="5" t="s">
        <v>95</v>
      </c>
      <c r="B6" s="9" t="n">
        <v>6953610.21</v>
      </c>
      <c r="C6" s="9" t="n">
        <v>625824</v>
      </c>
      <c r="D6" s="19" t="n">
        <f aca="false">C6/IF(Assumptions!$B$70=1,U6,S6)</f>
        <v>10013184</v>
      </c>
      <c r="E6" s="20" t="n">
        <f aca="false">C6/B6</f>
        <v>0.0899998678528171</v>
      </c>
      <c r="F6" s="21" t="n">
        <f aca="false">D6*(1-Assumptions!$B$25)</f>
        <v>9612656.64</v>
      </c>
      <c r="G6" s="21" t="n">
        <f aca="false">F6-B6</f>
        <v>2659046.43</v>
      </c>
      <c r="H6" s="21" t="n">
        <f aca="false">Assumptions!$B$21*B6*(Assumptions!$C$48/12)</f>
        <v>1112577.6336</v>
      </c>
      <c r="I6" s="21" t="n">
        <f aca="false">IF(G6&lt;=H6,0,(1-Assumptions!$B$23)*MIN(G6-H6,MAX(Assumptions!$B$22*B6-H6,0)/Assumptions!$B$23)+(1-Assumptions!$B$24)*MAX(G6-H6-MIN(G6-H6,MAX(Assumptions!$B$22*B6-H6,0)/Assumptions!$B$23),0))</f>
        <v>693764.567228571</v>
      </c>
      <c r="J6" s="21" t="n">
        <f aca="false">G6-I6</f>
        <v>1965281.86277143</v>
      </c>
      <c r="K6" s="20" t="n">
        <f aca="false">J6/B6</f>
        <v>0.282627556538207</v>
      </c>
      <c r="L6" s="21" t="n">
        <f aca="false">Assumptions!$B$19*G6</f>
        <v>1329523.215</v>
      </c>
      <c r="M6" s="21" t="n">
        <f aca="false">IF(L6&lt;=Assumptions!$B$21*B6*(Assumptions!$B$17/12),0,(1-Assumptions!$B$23)*MIN(L6-Assumptions!$B$21*B6*(Assumptions!$B$17/12),MAX(Assumptions!$B$22*B6-Assumptions!$B$21*B6*(Assumptions!$B$17/12),0)/Assumptions!$B$23)+(1-Assumptions!$B$24)*MAX(L6-Assumptions!$B$21*B6*(Assumptions!$B$17/12)-MIN(L6-Assumptions!$B$21*B6*(Assumptions!$B$17/12),MAX(Assumptions!$B$22*B6-Assumptions!$B$21*B6*(Assumptions!$B$17/12),0)/Assumptions!$B$23),0))</f>
        <v>231970.31946</v>
      </c>
      <c r="N6" s="21" t="n">
        <f aca="false">L6-M6</f>
        <v>1097552.89554</v>
      </c>
      <c r="Q6" s="22" t="n">
        <f aca="false">Assumptions!$B$13/(Assumptions!$B$11+Assumptions!$B$12+Assumptions!$B$13+Assumptions!$B$14)</f>
        <v>0.125</v>
      </c>
      <c r="R6" s="23" t="n">
        <f aca="false">C6/D6</f>
        <v>0.0625</v>
      </c>
      <c r="S6" s="23" t="n">
        <f aca="false">C6/T6</f>
        <v>0.0624759708092551</v>
      </c>
      <c r="T6" s="24" t="n">
        <v>10017035.22</v>
      </c>
      <c r="U6" s="25" t="n">
        <v>0.0625</v>
      </c>
      <c r="V6" s="26" t="n">
        <f aca="false">(E6-R6)*10000</f>
        <v>274.998678528171</v>
      </c>
      <c r="W6" s="1" t="str">
        <f aca="false">IF(V6&gt;=150,"OK","THIN")</f>
        <v>OK</v>
      </c>
    </row>
    <row r="7" customFormat="false" ht="15" hidden="false" customHeight="true" outlineLevel="0" collapsed="false">
      <c r="A7" s="5" t="s">
        <v>96</v>
      </c>
      <c r="B7" s="9" t="n">
        <v>9315545.67</v>
      </c>
      <c r="C7" s="9" t="n">
        <v>630000</v>
      </c>
      <c r="D7" s="19" t="n">
        <f aca="false">C7/IF(Assumptions!$B$70=1,U7,S7)</f>
        <v>10956521.7391304</v>
      </c>
      <c r="E7" s="20" t="n">
        <f aca="false">C7/B7</f>
        <v>0.0676288885608566</v>
      </c>
      <c r="F7" s="21" t="n">
        <f aca="false">D7*(1-Assumptions!$B$25)</f>
        <v>10518260.8695652</v>
      </c>
      <c r="G7" s="21" t="n">
        <f aca="false">F7-B7</f>
        <v>1202715.19956522</v>
      </c>
      <c r="H7" s="21" t="n">
        <f aca="false">Assumptions!$B$21*B7*(Assumptions!$C$48/12)</f>
        <v>1490487.3072</v>
      </c>
      <c r="I7" s="21" t="n">
        <f aca="false">IF(G7&lt;=H7,0,(1-Assumptions!$B$23)*MIN(G7-H7,MAX(Assumptions!$B$22*B7-H7,0)/Assumptions!$B$23)+(1-Assumptions!$B$24)*MAX(G7-H7-MIN(G7-H7,MAX(Assumptions!$B$22*B7-H7,0)/Assumptions!$B$23),0))</f>
        <v>0</v>
      </c>
      <c r="J7" s="21" t="n">
        <f aca="false">G7-I7</f>
        <v>1202715.19956522</v>
      </c>
      <c r="K7" s="20" t="n">
        <f aca="false">J7/B7</f>
        <v>0.129108400320388</v>
      </c>
      <c r="L7" s="21" t="n">
        <f aca="false">Assumptions!$B$19*G7</f>
        <v>601357.599782608</v>
      </c>
      <c r="M7" s="21" t="n">
        <f aca="false">IF(L7&lt;=Assumptions!$B$21*B7*(Assumptions!$B$17/12),0,(1-Assumptions!$B$23)*MIN(L7-Assumptions!$B$21*B7*(Assumptions!$B$17/12),MAX(Assumptions!$B$22*B7-Assumptions!$B$21*B7*(Assumptions!$B$17/12),0)/Assumptions!$B$23)+(1-Assumptions!$B$24)*MAX(L7-Assumptions!$B$21*B7*(Assumptions!$B$17/12)-MIN(L7-Assumptions!$B$21*B7*(Assumptions!$B$17/12),MAX(Assumptions!$B$22*B7-Assumptions!$B$21*B7*(Assumptions!$B$17/12),0)/Assumptions!$B$23),0))</f>
        <v>0</v>
      </c>
      <c r="N7" s="21" t="n">
        <f aca="false">L7-M7</f>
        <v>601357.599782608</v>
      </c>
      <c r="Q7" s="22" t="n">
        <f aca="false">Assumptions!$B$14/(Assumptions!$B$11+Assumptions!$B$12+Assumptions!$B$13+Assumptions!$B$14)</f>
        <v>0.125</v>
      </c>
      <c r="R7" s="23" t="n">
        <f aca="false">C7/D7</f>
        <v>0.0575</v>
      </c>
      <c r="S7" s="23" t="n">
        <f aca="false">C7/T7</f>
        <v>0.0589122443208597</v>
      </c>
      <c r="T7" s="24" t="n">
        <v>10693872</v>
      </c>
      <c r="U7" s="25" t="n">
        <v>0.0575</v>
      </c>
      <c r="V7" s="26" t="n">
        <f aca="false">(E7-R7)*10000</f>
        <v>101.288885608566</v>
      </c>
      <c r="W7" s="1" t="str">
        <f aca="false">IF(V7&gt;=150,"OK","THIN")</f>
        <v>THIN</v>
      </c>
    </row>
    <row r="9" customFormat="false" ht="15" hidden="false" customHeight="true" outlineLevel="0" collapsed="false">
      <c r="A9" s="4" t="s">
        <v>128</v>
      </c>
      <c r="B9" s="27" t="n">
        <f aca="false">(Assumptions!$B$11*B4+Assumptions!$B$12*B5+Assumptions!$B$13*B6+Assumptions!$B$14*B7)/(Assumptions!$B$11+Assumptions!$B$12+Assumptions!$B$13+Assumptions!$B$14)</f>
        <v>3799378.09125</v>
      </c>
      <c r="C9" s="27" t="n">
        <f aca="false">(Assumptions!$B$11*C4+Assumptions!$B$12*C5+Assumptions!$B$13*C6+Assumptions!$B$14*C7)/(Assumptions!$B$11+Assumptions!$B$12+Assumptions!$B$13+Assumptions!$B$14)</f>
        <v>365103</v>
      </c>
      <c r="G9" s="27" t="n">
        <f aca="false">(Assumptions!$B$11*G4+Assumptions!$B$12*G5+Assumptions!$B$13*G6+Assumptions!$B$14*G7)/(Assumptions!$B$11+Assumptions!$B$12+Assumptions!$B$13+Assumptions!$B$14)</f>
        <v>1472848.66641117</v>
      </c>
      <c r="H9" s="27" t="n">
        <f aca="false">(Assumptions!$B$11*H4+Assumptions!$B$12*H5+Assumptions!$B$13*H6+Assumptions!$B$14*H7)/(Assumptions!$B$11+Assumptions!$B$12+Assumptions!$B$13+Assumptions!$B$14)</f>
        <v>607900.4946</v>
      </c>
      <c r="I9" s="27" t="n">
        <f aca="false">(Assumptions!$B$11*I4+Assumptions!$B$12*I5+Assumptions!$B$13*I6+Assumptions!$B$14*I7)/(Assumptions!$B$11+Assumptions!$B$12+Assumptions!$B$13+Assumptions!$B$14)</f>
        <v>420346.301118473</v>
      </c>
      <c r="J9" s="27" t="n">
        <f aca="false">(Assumptions!$B$11*J4+Assumptions!$B$12*J5+Assumptions!$B$13*J6+Assumptions!$B$14*J7)/(Assumptions!$B$11+Assumptions!$B$12+Assumptions!$B$13+Assumptions!$B$14)</f>
        <v>1052502.3652927</v>
      </c>
      <c r="L9" s="27" t="n">
        <f aca="false">(Assumptions!$B$11*L4+Assumptions!$B$12*L5+Assumptions!$B$13*L6+Assumptions!$B$14*L7)/(Assumptions!$B$11+Assumptions!$B$12+Assumptions!$B$13+Assumptions!$B$14)</f>
        <v>736424.333205585</v>
      </c>
      <c r="M9" s="27" t="n">
        <f aca="false">(Assumptions!$B$11*M4+Assumptions!$B$12*M5+Assumptions!$B$13*M6+Assumptions!$B$14*M7)/(Assumptions!$B$11+Assumptions!$B$12+Assumptions!$B$13+Assumptions!$B$14)</f>
        <v>145359.623432808</v>
      </c>
      <c r="N9" s="27" t="n">
        <f aca="false">(Assumptions!$B$11*N4+Assumptions!$B$12*N5+Assumptions!$B$13*N6+Assumptions!$B$14*N7)/(Assumptions!$B$11+Assumptions!$B$12+Assumptions!$B$13+Assumptions!$B$14)</f>
        <v>591064.709772777</v>
      </c>
    </row>
    <row r="10" customFormat="false" ht="15" hidden="false" customHeight="true" outlineLevel="0" collapsed="false">
      <c r="A10" s="3" t="s">
        <v>129</v>
      </c>
    </row>
    <row r="11" customFormat="false" ht="15" hidden="false" customHeight="true" outlineLevel="0" collapsed="false">
      <c r="A11" s="4" t="s">
        <v>130</v>
      </c>
    </row>
    <row r="12" customFormat="false" ht="15" hidden="false" customHeight="true" outlineLevel="0" collapsed="false">
      <c r="A12" s="1" t="s">
        <v>131</v>
      </c>
      <c r="B12" s="21" t="n">
        <f aca="false">$B$9*(Assumptions!$B$27+(1-Assumptions!$B$46)*(1-Assumptions!$B$64)*Assumptions!$B$28*Assumptions!$B$29)</f>
        <v>141640.8152418</v>
      </c>
    </row>
    <row r="13" customFormat="false" ht="15" hidden="false" customHeight="true" outlineLevel="0" collapsed="false">
      <c r="A13" s="3" t="s">
        <v>132</v>
      </c>
    </row>
    <row r="14" customFormat="false" ht="15" hidden="false" customHeight="true" outlineLevel="0" collapsed="false">
      <c r="A14" s="3" t="s">
        <v>133</v>
      </c>
    </row>
    <row r="15" customFormat="false" ht="15" hidden="false" customHeight="true" outlineLevel="0" collapsed="false">
      <c r="A15" s="4" t="s">
        <v>134</v>
      </c>
    </row>
    <row r="16" customFormat="false" ht="15" hidden="false" customHeight="true" outlineLevel="0" collapsed="false">
      <c r="A16" s="11" t="s">
        <v>59</v>
      </c>
      <c r="B16" s="11" t="s">
        <v>135</v>
      </c>
      <c r="C16" s="11" t="s">
        <v>136</v>
      </c>
      <c r="D16" s="11" t="s">
        <v>137</v>
      </c>
      <c r="E16" s="11" t="s">
        <v>138</v>
      </c>
    </row>
    <row r="17" customFormat="false" ht="15" hidden="false" customHeight="true" outlineLevel="0" collapsed="false">
      <c r="A17" s="1" t="str">
        <f aca="false">Assumptions!A46</f>
        <v>Exit 1 - sell entitled site</v>
      </c>
      <c r="B17" s="21" t="n">
        <f aca="false">Assumptions!$D$46*$G$9</f>
        <v>294569.733282234</v>
      </c>
      <c r="C17" s="21" t="n">
        <f aca="false">Assumptions!$B$21*($B$9*Assumptions!$E$46)*(Assumptions!$C$46/12)</f>
        <v>34194.40282125</v>
      </c>
      <c r="D17" s="21" t="n">
        <f aca="false">IF(B17&lt;=C17,0,(1-Assumptions!$B$23)*MIN(B17-C17,MAX(Assumptions!$B$22*($B$9*Assumptions!$E$46)-C17,0)/Assumptions!$B$23)+(1-Assumptions!$B$24)*MAX(B17-C17-MIN(B17-C17,MAX(Assumptions!$B$22*($B$9*Assumptions!$E$46)-C17,0)/Assumptions!$B$23),0))</f>
        <v>107391.396682992</v>
      </c>
      <c r="E17" s="21" t="n">
        <f aca="false">B17-D17</f>
        <v>187178.336599242</v>
      </c>
    </row>
    <row r="18" customFormat="false" ht="15" hidden="false" customHeight="true" outlineLevel="0" collapsed="false">
      <c r="A18" s="1" t="str">
        <f aca="false">Assumptions!A47</f>
        <v>Exit 2 - sell developed / at lease-up</v>
      </c>
      <c r="B18" s="21" t="n">
        <f aca="false">Assumptions!$D$47*$G$9</f>
        <v>736424.333205585</v>
      </c>
      <c r="C18" s="21" t="n">
        <f aca="false">Assumptions!$B$21*($B$9*Assumptions!$E$47)*(Assumptions!$C$47/12)</f>
        <v>341944.0282125</v>
      </c>
      <c r="D18" s="21" t="n">
        <f aca="false">IF(B18&lt;=C18,0,(1-Assumptions!$B$23)*MIN(B18-C18,MAX(Assumptions!$B$22*($B$9*Assumptions!$E$47)-C18,0)/Assumptions!$B$23)+(1-Assumptions!$B$24)*MAX(B18-C18-MIN(B18-C18,MAX(Assumptions!$B$22*($B$9*Assumptions!$E$47)-C18,0)/Assumptions!$B$23),0))</f>
        <v>118344.091497925</v>
      </c>
      <c r="E18" s="21" t="n">
        <f aca="false">B18-D18</f>
        <v>618080.241707659</v>
      </c>
    </row>
    <row r="19" customFormat="false" ht="15" hidden="false" customHeight="true" outlineLevel="0" collapsed="false">
      <c r="A19" s="1" t="str">
        <f aca="false">Assumptions!A48</f>
        <v>Exit 3 - sell stabilized NNN</v>
      </c>
      <c r="B19" s="21" t="n">
        <f aca="false">Assumptions!$D$48*$G$9</f>
        <v>1472848.66641117</v>
      </c>
      <c r="C19" s="21" t="n">
        <f aca="false">Assumptions!$B$21*($B$9*Assumptions!$E$48)*(Assumptions!$C$48/12)</f>
        <v>607900.4946</v>
      </c>
      <c r="D19" s="21" t="n">
        <f aca="false">IF(B19&lt;=C19,0,(1-Assumptions!$B$23)*MIN(B19-C19,MAX(Assumptions!$B$22*($B$9*Assumptions!$E$48)-C19,0)/Assumptions!$B$23)+(1-Assumptions!$B$24)*MAX(B19-C19-MIN(B19-C19,MAX(Assumptions!$B$22*($B$9*Assumptions!$E$48)-C19,0)/Assumptions!$B$23),0))</f>
        <v>389052.622005585</v>
      </c>
      <c r="E19" s="21" t="n">
        <f aca="false">B19-D19</f>
        <v>1083796.04440558</v>
      </c>
    </row>
    <row r="20" customFormat="false" ht="15" hidden="false" customHeight="true" outlineLevel="0" collapsed="false">
      <c r="A20" s="1" t="str">
        <f aca="false">Assumptions!A49</f>
        <v>Exit 4 - hold / refinance (no sale in window)</v>
      </c>
      <c r="B20" s="3" t="s">
        <v>139</v>
      </c>
    </row>
    <row r="21" customFormat="false" ht="15" hidden="false" customHeight="true" outlineLevel="0" collapsed="false">
      <c r="A21" s="1" t="s">
        <v>140</v>
      </c>
      <c r="B21" s="21" t="n">
        <f aca="false">SUMPRODUCT($B$41:$B$52,$G$41:$G$52)+(1-SUM($G$41:$G$52))*SUMPRODUCT(B4:B7,Q4:Q7)</f>
        <v>2643172.35650625</v>
      </c>
    </row>
    <row r="23" customFormat="false" ht="15" hidden="false" customHeight="true" outlineLevel="0" collapsed="false">
      <c r="A23" s="4" t="s">
        <v>141</v>
      </c>
    </row>
    <row r="24" customFormat="false" ht="15" hidden="false" customHeight="true" outlineLevel="0" collapsed="false">
      <c r="A24" s="11" t="s">
        <v>59</v>
      </c>
      <c r="B24" s="11" t="s">
        <v>142</v>
      </c>
      <c r="C24" s="11" t="s">
        <v>143</v>
      </c>
      <c r="D24" s="11" t="s">
        <v>144</v>
      </c>
      <c r="E24" s="11" t="s">
        <v>145</v>
      </c>
      <c r="F24" s="11" t="s">
        <v>146</v>
      </c>
    </row>
    <row r="25" customFormat="false" ht="15" hidden="false" customHeight="true" outlineLevel="0" collapsed="false">
      <c r="A25" s="1" t="str">
        <f aca="false">Assumptions!A46</f>
        <v>Exit 1 - sell entitled site</v>
      </c>
      <c r="B25" s="21" t="n">
        <f aca="false">Assumptions!$E$46*$B$9</f>
        <v>569906.7136875</v>
      </c>
      <c r="C25" s="21" t="n">
        <f aca="false">E17</f>
        <v>187178.336599242</v>
      </c>
      <c r="D25" s="20" t="n">
        <f aca="false">C25/B25</f>
        <v>0.328436798696635</v>
      </c>
      <c r="E25" s="1" t="n">
        <f aca="false">Assumptions!$C$46</f>
        <v>9</v>
      </c>
      <c r="F25" s="20" t="n">
        <f aca="false">(1+D25)^(12/E25)-1</f>
        <v>0.46034184521692</v>
      </c>
    </row>
    <row r="26" customFormat="false" ht="15" hidden="false" customHeight="true" outlineLevel="0" collapsed="false">
      <c r="A26" s="1" t="str">
        <f aca="false">Assumptions!A47</f>
        <v>Exit 2 - sell developed / at lease-up</v>
      </c>
      <c r="B26" s="21" t="n">
        <f aca="false">Assumptions!$E$47*$B$9</f>
        <v>3419440.282125</v>
      </c>
      <c r="C26" s="21" t="n">
        <f aca="false">E18</f>
        <v>618080.241707659</v>
      </c>
      <c r="D26" s="20" t="n">
        <f aca="false">C26/B26</f>
        <v>0.180754799239703</v>
      </c>
      <c r="E26" s="1" t="n">
        <f aca="false">Assumptions!$C$47</f>
        <v>15</v>
      </c>
      <c r="F26" s="20" t="n">
        <f aca="false">(1+D26)^(12/E26)-1</f>
        <v>0.142162180368318</v>
      </c>
    </row>
    <row r="27" customFormat="false" ht="15" hidden="false" customHeight="true" outlineLevel="0" collapsed="false">
      <c r="A27" s="1" t="str">
        <f aca="false">Assumptions!A48</f>
        <v>Exit 3 - sell stabilized NNN</v>
      </c>
      <c r="B27" s="21" t="n">
        <f aca="false">Assumptions!$E$48*$B$9</f>
        <v>3799378.09125</v>
      </c>
      <c r="C27" s="21" t="n">
        <f aca="false">E19+$C$9*0.98*MAX(Assumptions!$C$48-Assumptions!$B$53,0)/12</f>
        <v>1352146.74940558</v>
      </c>
      <c r="D27" s="20" t="n">
        <f aca="false">C27/B27</f>
        <v>0.35588633637689</v>
      </c>
      <c r="E27" s="1" t="n">
        <f aca="false">Assumptions!$C$48</f>
        <v>24</v>
      </c>
      <c r="F27" s="20" t="n">
        <f aca="false">(1+D27)^(12/E27)-1</f>
        <v>0.164425324517159</v>
      </c>
    </row>
    <row r="28" customFormat="false" ht="15" hidden="false" customHeight="true" outlineLevel="0" collapsed="false">
      <c r="A28" s="1" t="str">
        <f aca="false">Assumptions!A49</f>
        <v>Exit 4 - hold / refinance (no sale in window)</v>
      </c>
      <c r="B28" s="21" t="n">
        <f aca="false">$B$9</f>
        <v>3799378.09125</v>
      </c>
      <c r="C28" s="21" t="n">
        <f aca="false">$C$9*0.98</f>
        <v>357800.94</v>
      </c>
      <c r="D28" s="3" t="s">
        <v>147</v>
      </c>
      <c r="F28" s="20" t="n">
        <f aca="false">C28/B28</f>
        <v>0.0941735545677906</v>
      </c>
    </row>
    <row r="29" customFormat="false" ht="15" hidden="false" customHeight="true" outlineLevel="0" collapsed="false">
      <c r="A29" s="3" t="s">
        <v>148</v>
      </c>
    </row>
    <row r="30" customFormat="false" ht="15" hidden="false" customHeight="true" outlineLevel="0" collapsed="false">
      <c r="A30" s="3" t="s">
        <v>149</v>
      </c>
    </row>
    <row r="31" customFormat="false" ht="15" hidden="false" customHeight="true" outlineLevel="0" collapsed="false">
      <c r="A31" s="4" t="s">
        <v>150</v>
      </c>
    </row>
    <row r="32" customFormat="false" ht="15" hidden="false" customHeight="true" outlineLevel="0" collapsed="false">
      <c r="A32" s="11" t="s">
        <v>59</v>
      </c>
      <c r="B32" s="11" t="s">
        <v>151</v>
      </c>
      <c r="C32" s="11" t="s">
        <v>152</v>
      </c>
      <c r="D32" s="11" t="s">
        <v>153</v>
      </c>
      <c r="E32" s="11" t="s">
        <v>154</v>
      </c>
      <c r="F32" s="11" t="s">
        <v>146</v>
      </c>
    </row>
    <row r="33" customFormat="false" ht="15" hidden="false" customHeight="true" outlineLevel="0" collapsed="false">
      <c r="A33" s="1" t="str">
        <f aca="false">A25</f>
        <v>Exit 1 - sell entitled site</v>
      </c>
      <c r="B33" s="21" t="n">
        <f aca="false">B25*(1-Assumptions!$B$56)</f>
        <v>227962.685475</v>
      </c>
      <c r="C33" s="21" t="n">
        <f aca="false">B25*Assumptions!$B$56*Assumptions!$B$57*E25/12</f>
        <v>21798.9317985469</v>
      </c>
      <c r="D33" s="21" t="n">
        <f aca="false">C25-C33</f>
        <v>165379.404800695</v>
      </c>
      <c r="E33" s="20" t="n">
        <f aca="false">IF(B33=0,0,D33/B33)</f>
        <v>0.725466996741586</v>
      </c>
      <c r="F33" s="20" t="n">
        <f aca="false">(1+E33)^(12/PerDeal!E25)-1</f>
        <v>1.06954818524901</v>
      </c>
    </row>
    <row r="34" customFormat="false" ht="15" hidden="false" customHeight="true" outlineLevel="0" collapsed="false">
      <c r="A34" s="1" t="str">
        <f aca="false">A26</f>
        <v>Exit 2 - sell developed / at lease-up</v>
      </c>
      <c r="B34" s="21" t="n">
        <f aca="false">B26*(1-Assumptions!$B$56)</f>
        <v>1367776.11285</v>
      </c>
      <c r="C34" s="21" t="n">
        <f aca="false">B26*Assumptions!$B$56*Assumptions!$B$57*E26/12</f>
        <v>217989.317985469</v>
      </c>
      <c r="D34" s="21" t="n">
        <f aca="false">C26-C34</f>
        <v>400090.92372219</v>
      </c>
      <c r="E34" s="20" t="n">
        <f aca="false">IF(B34=0,0,D34/B34)</f>
        <v>0.292511998099259</v>
      </c>
      <c r="F34" s="20" t="n">
        <f aca="false">(1+E34)^(12/PerDeal!E26)-1</f>
        <v>0.227856649744984</v>
      </c>
    </row>
    <row r="35" customFormat="false" ht="15" hidden="false" customHeight="true" outlineLevel="0" collapsed="false">
      <c r="A35" s="1" t="str">
        <f aca="false">A27</f>
        <v>Exit 3 - sell stabilized NNN</v>
      </c>
      <c r="B35" s="21" t="n">
        <f aca="false">B27*(1-Assumptions!$B$56)</f>
        <v>1519751.2365</v>
      </c>
      <c r="C35" s="21" t="n">
        <f aca="false">B27*Assumptions!$B$56*Assumptions!$B$57*E27/12</f>
        <v>387536.5653075</v>
      </c>
      <c r="D35" s="21" t="n">
        <f aca="false">C27-C35</f>
        <v>964610.184098085</v>
      </c>
      <c r="E35" s="20" t="n">
        <f aca="false">IF(B35=0,0,D35/B35)</f>
        <v>0.634715840942226</v>
      </c>
      <c r="F35" s="20" t="n">
        <f aca="false">(1+E35)^(12/PerDeal!E27)-1</f>
        <v>0.278560065441677</v>
      </c>
    </row>
    <row r="36" customFormat="false" ht="15" hidden="false" customHeight="true" outlineLevel="0" collapsed="false">
      <c r="A36" s="1" t="str">
        <f aca="false">A28</f>
        <v>Exit 4 - hold / refinance (no sale in window)</v>
      </c>
      <c r="B36" s="21" t="n">
        <f aca="false">B28*(1-Assumptions!$B$56)</f>
        <v>1519751.2365</v>
      </c>
      <c r="C36" s="21" t="n">
        <f aca="false">B28*Assumptions!$B$56*Assumptions!$B$57</f>
        <v>193768.28265375</v>
      </c>
      <c r="D36" s="21" t="n">
        <f aca="false">C28-C36</f>
        <v>164032.65734625</v>
      </c>
      <c r="E36" s="3" t="s">
        <v>155</v>
      </c>
      <c r="F36" s="20" t="n">
        <f aca="false">IF(B36=0,0,D36/B36)</f>
        <v>0.107933886419477</v>
      </c>
    </row>
    <row r="37" customFormat="false" ht="15" hidden="false" customHeight="true" outlineLevel="0" collapsed="false">
      <c r="A37" s="3" t="s">
        <v>156</v>
      </c>
    </row>
    <row r="39" customFormat="false" ht="15" hidden="false" customHeight="true" outlineLevel="0" collapsed="false">
      <c r="A39" s="4" t="s">
        <v>157</v>
      </c>
    </row>
    <row r="40" customFormat="false" ht="15" hidden="false" customHeight="true" outlineLevel="0" collapsed="false">
      <c r="A40" s="11" t="s">
        <v>158</v>
      </c>
      <c r="B40" s="11" t="s">
        <v>159</v>
      </c>
      <c r="C40" s="11" t="s">
        <v>160</v>
      </c>
      <c r="D40" s="11" t="s">
        <v>136</v>
      </c>
      <c r="E40" s="11" t="s">
        <v>137</v>
      </c>
      <c r="F40" s="11" t="s">
        <v>138</v>
      </c>
      <c r="G40" s="11" t="s">
        <v>161</v>
      </c>
    </row>
    <row r="41" customFormat="false" ht="15" hidden="false" customHeight="true" outlineLevel="0" collapsed="false">
      <c r="A41" s="1" t="str">
        <f aca="false">Assumptions!A46&amp;" - "&amp;A4</f>
        <v>Exit 1 - sell entitled site - Truck parking</v>
      </c>
      <c r="B41" s="21" t="n">
        <f aca="false">(B4*Assumptions!$E$46)</f>
        <v>302698.6785</v>
      </c>
      <c r="C41" s="21" t="n">
        <f aca="false">Assumptions!$B$83*G4</f>
        <v>225632.106827586</v>
      </c>
      <c r="D41" s="21" t="n">
        <f aca="false">Assumptions!$B$21*(B4*Assumptions!$E$46)*(Assumptions!$C$46/12)</f>
        <v>18161.92071</v>
      </c>
      <c r="E41" s="21" t="n">
        <f aca="false">IF(C41&lt;=D41,0,(1-Assumptions!$B$23)*MIN(C41-D41,MAX(Assumptions!$B$22*(B4*Assumptions!$E$46)-D41,0)/Assumptions!$B$23)+(1-Assumptions!$B$24)*MAX(C41-D41-MIN(C41-D41,MAX(Assumptions!$B$22*(B4*Assumptions!$E$46)-D41,0)/Assumptions!$B$23),0))</f>
        <v>91627.1459187931</v>
      </c>
      <c r="F41" s="21" t="n">
        <f aca="false">C41-E41</f>
        <v>134004.960908793</v>
      </c>
      <c r="G41" s="28" t="n">
        <f aca="false">Q4*Assumptions!$B$74</f>
        <v>0.0375</v>
      </c>
    </row>
    <row r="42" customFormat="false" ht="15" hidden="false" customHeight="true" outlineLevel="0" collapsed="false">
      <c r="A42" s="1" t="str">
        <f aca="false">Assumptions!A46&amp;" - "&amp;A5</f>
        <v>Exit 1 - sell entitled site - IOS yard</v>
      </c>
      <c r="B42" s="21" t="n">
        <f aca="false">(B5*Assumptions!$E$46)</f>
        <v>403594.764</v>
      </c>
      <c r="C42" s="21" t="n">
        <f aca="false">Assumptions!$C$83*G5</f>
        <v>302436.40662069</v>
      </c>
      <c r="D42" s="21" t="n">
        <f aca="false">Assumptions!$B$21*(B5*Assumptions!$E$46)*(Assumptions!$C$46/12)</f>
        <v>24215.68584</v>
      </c>
      <c r="E42" s="21" t="n">
        <f aca="false">IF(C42&lt;=D42,0,(1-Assumptions!$B$23)*MIN(C42-D42,MAX(Assumptions!$B$22*(B5*Assumptions!$E$46)-D42,0)/Assumptions!$B$23)+(1-Assumptions!$B$24)*MAX(C42-D42-MIN(C42-D42,MAX(Assumptions!$B$22*(B5*Assumptions!$E$46)-D42,0)/Assumptions!$B$23),0))</f>
        <v>122966.569830345</v>
      </c>
      <c r="F42" s="21" t="n">
        <f aca="false">C42-E42</f>
        <v>179469.836790345</v>
      </c>
      <c r="G42" s="28" t="n">
        <f aca="false">Q5*Assumptions!$C$74</f>
        <v>0.0375</v>
      </c>
    </row>
    <row r="43" customFormat="false" ht="15" hidden="false" customHeight="true" outlineLevel="0" collapsed="false">
      <c r="A43" s="1" t="str">
        <f aca="false">Assumptions!A46&amp;" - "&amp;A6</f>
        <v>Exit 1 - sell entitled site - Travel center</v>
      </c>
      <c r="B43" s="21" t="n">
        <f aca="false">(B6*Assumptions!$E$46)</f>
        <v>1043041.5315</v>
      </c>
      <c r="C43" s="21" t="n">
        <f aca="false">Assumptions!$D$83*G6</f>
        <v>531809.286</v>
      </c>
      <c r="D43" s="21" t="n">
        <f aca="false">Assumptions!$B$21*(B6*Assumptions!$E$46)*(Assumptions!$C$46/12)</f>
        <v>62582.49189</v>
      </c>
      <c r="E43" s="21" t="n">
        <f aca="false">IF(C43&lt;=D43,0,(1-Assumptions!$B$23)*MIN(C43-D43,MAX(Assumptions!$B$22*(B6*Assumptions!$E$46)-D43,0)/Assumptions!$B$23)+(1-Assumptions!$B$24)*MAX(C43-D43-MIN(C43-D43,MAX(Assumptions!$B$22*(B6*Assumptions!$E$46)-D43,0)/Assumptions!$B$23),0))</f>
        <v>192891.735795</v>
      </c>
      <c r="F43" s="21" t="n">
        <f aca="false">C43-E43</f>
        <v>338917.550205</v>
      </c>
      <c r="G43" s="28" t="n">
        <f aca="false">Q6*Assumptions!$D$74</f>
        <v>0.00625</v>
      </c>
    </row>
    <row r="44" customFormat="false" ht="15" hidden="false" customHeight="true" outlineLevel="0" collapsed="false">
      <c r="A44" s="1" t="str">
        <f aca="false">Assumptions!A46&amp;" - "&amp;A7</f>
        <v>Exit 1 - sell entitled site - Distribution</v>
      </c>
      <c r="B44" s="21" t="n">
        <f aca="false">(B7*Assumptions!$E$46)</f>
        <v>1397331.8505</v>
      </c>
      <c r="C44" s="21" t="n">
        <f aca="false">Assumptions!$E$83*G7</f>
        <v>420950.319847826</v>
      </c>
      <c r="D44" s="21" t="n">
        <f aca="false">Assumptions!$B$21*(B7*Assumptions!$E$46)*(Assumptions!$C$46/12)</f>
        <v>83839.91103</v>
      </c>
      <c r="E44" s="21" t="n">
        <f aca="false">IF(C44&lt;=D44,0,(1-Assumptions!$B$23)*MIN(C44-D44,MAX(Assumptions!$B$22*(B7*Assumptions!$E$46)-D44,0)/Assumptions!$B$23)+(1-Assumptions!$B$24)*MAX(C44-D44-MIN(C44-D44,MAX(Assumptions!$B$22*(B7*Assumptions!$E$46)-D44,0)/Assumptions!$B$23),0))</f>
        <v>112661.930388913</v>
      </c>
      <c r="F44" s="21" t="n">
        <f aca="false">C44-E44</f>
        <v>308288.389458913</v>
      </c>
      <c r="G44" s="28" t="n">
        <f aca="false">Q7*Assumptions!$E$74</f>
        <v>0.125</v>
      </c>
    </row>
    <row r="45" customFormat="false" ht="15" hidden="false" customHeight="true" outlineLevel="0" collapsed="false">
      <c r="A45" s="1" t="str">
        <f aca="false">Assumptions!A47&amp;" - "&amp;A4</f>
        <v>Exit 2 - sell developed / at lease-up - Truck parking</v>
      </c>
      <c r="B45" s="21" t="n">
        <f aca="false">(B4*Assumptions!$E$47)</f>
        <v>1816192.071</v>
      </c>
      <c r="C45" s="21" t="n">
        <f aca="false">Assumptions!$D$47*G4</f>
        <v>564080.267068966</v>
      </c>
      <c r="D45" s="21" t="n">
        <f aca="false">Assumptions!$B$21*(B4*Assumptions!$E$47)*(Assumptions!$C$47/12)</f>
        <v>181619.2071</v>
      </c>
      <c r="E45" s="21" t="n">
        <f aca="false">IF(C45&lt;=D45,0,(1-Assumptions!$B$23)*MIN(C45-D45,MAX(Assumptions!$B$22*(B4*Assumptions!$E$47)-D45,0)/Assumptions!$B$23)+(1-Assumptions!$B$24)*MAX(C45-D45-MIN(C45-D45,MAX(Assumptions!$B$22*(B4*Assumptions!$E$47)-D45,0)/Assumptions!$B$23),0))</f>
        <v>139339.327955911</v>
      </c>
      <c r="F45" s="21" t="n">
        <f aca="false">C45-E45</f>
        <v>424740.939113054</v>
      </c>
      <c r="G45" s="28" t="n">
        <f aca="false">Q4*Assumptions!$B$75</f>
        <v>0.075</v>
      </c>
    </row>
    <row r="46" customFormat="false" ht="15" hidden="false" customHeight="true" outlineLevel="0" collapsed="false">
      <c r="A46" s="1" t="str">
        <f aca="false">Assumptions!A47&amp;" - "&amp;A5</f>
        <v>Exit 2 - sell developed / at lease-up - IOS yard</v>
      </c>
      <c r="B46" s="21" t="n">
        <f aca="false">(B5*Assumptions!$E$47)</f>
        <v>2421568.584</v>
      </c>
      <c r="C46" s="21" t="n">
        <f aca="false">Assumptions!$D$47*G5</f>
        <v>756091.016551724</v>
      </c>
      <c r="D46" s="21" t="n">
        <f aca="false">Assumptions!$B$21*(B5*Assumptions!$E$47)*(Assumptions!$C$47/12)</f>
        <v>242156.8584</v>
      </c>
      <c r="E46" s="21" t="n">
        <f aca="false">IF(C46&lt;=D46,0,(1-Assumptions!$B$23)*MIN(C46-D46,MAX(Assumptions!$B$22*(B5*Assumptions!$E$47)-D46,0)/Assumptions!$B$23)+(1-Assumptions!$B$24)*MAX(C46-D46-MIN(C46-D46,MAX(Assumptions!$B$22*(B5*Assumptions!$E$47)-D46,0)/Assumptions!$B$23),0))</f>
        <v>187779.405247291</v>
      </c>
      <c r="F46" s="21" t="n">
        <f aca="false">C46-E46</f>
        <v>568311.611304434</v>
      </c>
      <c r="G46" s="28" t="n">
        <f aca="false">Q5*Assumptions!$C$75</f>
        <v>0.075</v>
      </c>
    </row>
    <row r="47" customFormat="false" ht="15" hidden="false" customHeight="true" outlineLevel="0" collapsed="false">
      <c r="A47" s="1" t="str">
        <f aca="false">Assumptions!A47&amp;" - "&amp;A6</f>
        <v>Exit 2 - sell developed / at lease-up - Travel center</v>
      </c>
      <c r="B47" s="21" t="n">
        <f aca="false">(B6*Assumptions!$E$47)</f>
        <v>6258249.189</v>
      </c>
      <c r="C47" s="21" t="n">
        <f aca="false">Assumptions!$D$47*G6</f>
        <v>1329523.215</v>
      </c>
      <c r="D47" s="21" t="n">
        <f aca="false">Assumptions!$B$21*(B6*Assumptions!$E$47)*(Assumptions!$C$47/12)</f>
        <v>625824.9189</v>
      </c>
      <c r="E47" s="21" t="n">
        <f aca="false">IF(C47&lt;=D47,0,(1-Assumptions!$B$23)*MIN(C47-D47,MAX(Assumptions!$B$22*(B6*Assumptions!$E$47)-D47,0)/Assumptions!$B$23)+(1-Assumptions!$B$24)*MAX(C47-D47-MIN(C47-D47,MAX(Assumptions!$B$22*(B6*Assumptions!$E$47)-D47,0)/Assumptions!$B$23),0))</f>
        <v>211109.48883</v>
      </c>
      <c r="F47" s="21" t="n">
        <f aca="false">C47-E47</f>
        <v>1118413.72617</v>
      </c>
      <c r="G47" s="28" t="n">
        <f aca="false">Q6*Assumptions!$D$75</f>
        <v>0.01875</v>
      </c>
    </row>
    <row r="48" customFormat="false" ht="15" hidden="false" customHeight="true" outlineLevel="0" collapsed="false">
      <c r="A48" s="1" t="str">
        <f aca="false">Assumptions!A47&amp;" - "&amp;A7</f>
        <v>Exit 2 - sell developed / at lease-up - Distribution</v>
      </c>
      <c r="B48" s="21" t="n">
        <f aca="false">(B7*Assumptions!$E$47)</f>
        <v>8383991.103</v>
      </c>
      <c r="C48" s="21" t="n">
        <f aca="false">Assumptions!$D$47*G7</f>
        <v>601357.599782608</v>
      </c>
      <c r="D48" s="21" t="n">
        <f aca="false">Assumptions!$B$21*(B7*Assumptions!$E$47)*(Assumptions!$C$47/12)</f>
        <v>838399.1103</v>
      </c>
      <c r="E48" s="21" t="n">
        <f aca="false">IF(C48&lt;=D48,0,(1-Assumptions!$B$23)*MIN(C48-D48,MAX(Assumptions!$B$22*(B7*Assumptions!$E$47)-D48,0)/Assumptions!$B$23)+(1-Assumptions!$B$24)*MAX(C48-D48-MIN(C48-D48,MAX(Assumptions!$B$22*(B7*Assumptions!$E$47)-D48,0)/Assumptions!$B$23),0))</f>
        <v>0</v>
      </c>
      <c r="F48" s="21" t="n">
        <f aca="false">C48-E48</f>
        <v>601357.599782608</v>
      </c>
      <c r="G48" s="28" t="n">
        <f aca="false">Q7*Assumptions!$E$75</f>
        <v>0</v>
      </c>
    </row>
    <row r="49" customFormat="false" ht="15" hidden="false" customHeight="true" outlineLevel="0" collapsed="false">
      <c r="A49" s="1" t="str">
        <f aca="false">Assumptions!A48&amp;" - "&amp;A4</f>
        <v>Exit 3 - sell stabilized NNN - Truck parking</v>
      </c>
      <c r="B49" s="21" t="n">
        <f aca="false">(B4*Assumptions!$E$48)</f>
        <v>2017991.19</v>
      </c>
      <c r="C49" s="21" t="n">
        <f aca="false">Assumptions!$D$48*G4</f>
        <v>1128160.53413793</v>
      </c>
      <c r="D49" s="21" t="n">
        <f aca="false">Assumptions!$B$21*(B4*Assumptions!$E$48)*(Assumptions!$C$48/12)</f>
        <v>322878.5904</v>
      </c>
      <c r="E49" s="21" t="n">
        <f aca="false">IF(C49&lt;=D49,0,(1-Assumptions!$B$23)*MIN(C49-D49,MAX(Assumptions!$B$22*(B4*Assumptions!$E$48)-D49,0)/Assumptions!$B$23)+(1-Assumptions!$B$24)*MAX(C49-D49-MIN(C49-D49,MAX(Assumptions!$B$22*(B4*Assumptions!$E$48)-D49,0)/Assumptions!$B$23),0))</f>
        <v>379578.215411823</v>
      </c>
      <c r="F49" s="21" t="n">
        <f aca="false">C49-E49</f>
        <v>748582.318726108</v>
      </c>
      <c r="G49" s="28" t="n">
        <f aca="false">Q4*Assumptions!$B$76</f>
        <v>0.225</v>
      </c>
    </row>
    <row r="50" customFormat="false" ht="15" hidden="false" customHeight="true" outlineLevel="0" collapsed="false">
      <c r="A50" s="1" t="str">
        <f aca="false">Assumptions!A48&amp;" - "&amp;A5</f>
        <v>Exit 3 - sell stabilized NNN - IOS yard</v>
      </c>
      <c r="B50" s="21" t="n">
        <f aca="false">(B5*Assumptions!$E$48)</f>
        <v>2690631.76</v>
      </c>
      <c r="C50" s="21" t="n">
        <f aca="false">Assumptions!$D$48*G5</f>
        <v>1512182.03310345</v>
      </c>
      <c r="D50" s="21" t="n">
        <f aca="false">Assumptions!$B$21*(B5*Assumptions!$E$48)*(Assumptions!$C$48/12)</f>
        <v>430501.0816</v>
      </c>
      <c r="E50" s="21" t="n">
        <f aca="false">IF(C50&lt;=D50,0,(1-Assumptions!$B$23)*MIN(C50-D50,MAX(Assumptions!$B$22*(B5*Assumptions!$E$48)-D50,0)/Assumptions!$B$23)+(1-Assumptions!$B$24)*MAX(C50-D50-MIN(C50-D50,MAX(Assumptions!$B$22*(B5*Assumptions!$E$48)-D50,0)/Assumptions!$B$23),0))</f>
        <v>510090.398494581</v>
      </c>
      <c r="F50" s="21" t="n">
        <f aca="false">C50-E50</f>
        <v>1002091.63460887</v>
      </c>
      <c r="G50" s="28" t="n">
        <f aca="false">Q5*Assumptions!$C$76</f>
        <v>0.225</v>
      </c>
    </row>
    <row r="51" customFormat="false" ht="15" hidden="false" customHeight="true" outlineLevel="0" collapsed="false">
      <c r="A51" s="1" t="str">
        <f aca="false">Assumptions!A48&amp;" - "&amp;A6</f>
        <v>Exit 3 - sell stabilized NNN - Travel center</v>
      </c>
      <c r="B51" s="21" t="n">
        <f aca="false">(B6*Assumptions!$E$48)</f>
        <v>6953610.21</v>
      </c>
      <c r="C51" s="21" t="n">
        <f aca="false">Assumptions!$D$48*G6</f>
        <v>2659046.43</v>
      </c>
      <c r="D51" s="21" t="n">
        <f aca="false">Assumptions!$B$21*(B6*Assumptions!$E$48)*(Assumptions!$C$48/12)</f>
        <v>1112577.6336</v>
      </c>
      <c r="E51" s="21" t="n">
        <f aca="false">IF(C51&lt;=D51,0,(1-Assumptions!$B$23)*MIN(C51-D51,MAX(Assumptions!$B$22*(B6*Assumptions!$E$48)-D51,0)/Assumptions!$B$23)+(1-Assumptions!$B$24)*MAX(C51-D51-MIN(C51-D51,MAX(Assumptions!$B$22*(B6*Assumptions!$E$48)-D51,0)/Assumptions!$B$23),0))</f>
        <v>693764.567228571</v>
      </c>
      <c r="F51" s="21" t="n">
        <f aca="false">C51-E51</f>
        <v>1965281.86277143</v>
      </c>
      <c r="G51" s="28" t="n">
        <f aca="false">Q6*Assumptions!$D$76</f>
        <v>0.0875</v>
      </c>
    </row>
    <row r="52" customFormat="false" ht="15" hidden="false" customHeight="true" outlineLevel="0" collapsed="false">
      <c r="A52" s="1" t="str">
        <f aca="false">Assumptions!A48&amp;" - "&amp;A7</f>
        <v>Exit 3 - sell stabilized NNN - Distribution</v>
      </c>
      <c r="B52" s="21" t="n">
        <f aca="false">(B7*Assumptions!$E$48)</f>
        <v>9315545.67</v>
      </c>
      <c r="C52" s="21" t="n">
        <f aca="false">Assumptions!$D$48*G7</f>
        <v>1202715.19956522</v>
      </c>
      <c r="D52" s="21" t="n">
        <f aca="false">Assumptions!$B$21*(B7*Assumptions!$E$48)*(Assumptions!$C$48/12)</f>
        <v>1490487.3072</v>
      </c>
      <c r="E52" s="21" t="n">
        <f aca="false">IF(C52&lt;=D52,0,(1-Assumptions!$B$23)*MIN(C52-D52,MAX(Assumptions!$B$22*(B7*Assumptions!$E$48)-D52,0)/Assumptions!$B$23)+(1-Assumptions!$B$24)*MAX(C52-D52-MIN(C52-D52,MAX(Assumptions!$B$22*(B7*Assumptions!$E$48)-D52,0)/Assumptions!$B$23),0))</f>
        <v>0</v>
      </c>
      <c r="F52" s="21" t="n">
        <f aca="false">C52-E52</f>
        <v>1202715.19956522</v>
      </c>
      <c r="G52" s="28" t="n">
        <f aca="false">Q7*Assumptions!$E$76</f>
        <v>0</v>
      </c>
    </row>
    <row r="55" customFormat="false" ht="15" hidden="false" customHeight="true" outlineLevel="0" collapsed="false">
      <c r="A55" s="4" t="s">
        <v>162</v>
      </c>
    </row>
    <row r="56" customFormat="false" ht="15" hidden="false" customHeight="true" outlineLevel="0" collapsed="false">
      <c r="A56" s="11" t="s">
        <v>59</v>
      </c>
      <c r="B56" s="11" t="s">
        <v>163</v>
      </c>
      <c r="C56" s="11" t="s">
        <v>164</v>
      </c>
      <c r="D56" s="11" t="s">
        <v>165</v>
      </c>
      <c r="E56" s="11" t="s">
        <v>166</v>
      </c>
      <c r="F56" s="11" t="s">
        <v>167</v>
      </c>
    </row>
    <row r="57" customFormat="false" ht="15" hidden="false" customHeight="true" outlineLevel="0" collapsed="false">
      <c r="A57" s="1" t="str">
        <f aca="false">Assumptions!A46</f>
        <v>Exit 1 - sell entitled site</v>
      </c>
      <c r="B57" s="21" t="n">
        <f aca="false">IF(SUM(G41:G44)=0,0,SUMPRODUCT(E41:E44,G41:G44)/SUM(G41:G44))</f>
        <v>113142.201153578</v>
      </c>
      <c r="C57" s="21" t="n">
        <f aca="false">IF(SUM(G41:G44)=0,0,SUMPRODUCT(F41:F44,G41:G44)/SUM(G41:G44))</f>
        <v>254107.094714487</v>
      </c>
      <c r="D57" s="20" t="n">
        <f aca="false">SUM(G41:G44)</f>
        <v>0.20625</v>
      </c>
      <c r="E57" s="21" t="n">
        <f aca="false">IF(SUM(G41:G44)=0,0,SUMPRODUCT(B41:B44,G41:G44)/SUM(G41:G44))</f>
        <v>1006892.09686364</v>
      </c>
      <c r="F57" s="21" t="n">
        <f aca="false">IF(SUM(G41:G44)=0,0,SUMPRODUCT($C$4:$C$7,G41:G44)/SUM(G41:G44))</f>
        <v>501691.636363636</v>
      </c>
    </row>
    <row r="58" customFormat="false" ht="15" hidden="false" customHeight="true" outlineLevel="0" collapsed="false">
      <c r="A58" s="1" t="str">
        <f aca="false">Assumptions!A47</f>
        <v>Exit 2 - sell developed / at lease-up</v>
      </c>
      <c r="B58" s="21" t="n">
        <f aca="false">IF(SUM(G45:G48)=0,0,SUMPRODUCT(E45:E48,G45:G48)/SUM(G45:G48))</f>
        <v>168842.713515868</v>
      </c>
      <c r="C58" s="21" t="n">
        <f aca="false">IF(SUM(G45:G48)=0,0,SUMPRODUCT(F45:F48,G45:G48)/SUM(G45:G48))</f>
        <v>565624.880871106</v>
      </c>
      <c r="D58" s="20" t="n">
        <f aca="false">SUM(G45:G48)</f>
        <v>0.16875</v>
      </c>
      <c r="E58" s="21" t="n">
        <f aca="false">IF(SUM(G45:G48)=0,0,SUMPRODUCT(B45:B48,G45:G48)/SUM(G45:G48))</f>
        <v>2578810.201</v>
      </c>
      <c r="F58" s="21" t="n">
        <f aca="false">IF(SUM(G45:G48)=0,0,SUMPRODUCT($C$4:$C$7,G45:G48)/SUM(G45:G48))</f>
        <v>316202.666666667</v>
      </c>
    </row>
    <row r="59" customFormat="false" ht="15" hidden="false" customHeight="true" outlineLevel="0" collapsed="false">
      <c r="A59" s="1" t="str">
        <f aca="false">Assumptions!A48</f>
        <v>Exit 3 - sell stabilized NNN</v>
      </c>
      <c r="B59" s="21" t="n">
        <f aca="false">IF(SUM(G49:G52)=0,0,SUMPRODUCT(E49:E52,G49:G52)/SUM(G49:G52))</f>
        <v>485357.837695704</v>
      </c>
      <c r="C59" s="21" t="n">
        <f aca="false">IF(SUM(G49:G52)=0,0,SUMPRODUCT(F49:F52,G49:G52)/SUM(G49:G52))</f>
        <v>1052769.86510301</v>
      </c>
      <c r="D59" s="20" t="n">
        <f aca="false">SUM(G49:G52)</f>
        <v>0.5375</v>
      </c>
      <c r="E59" s="21" t="n">
        <f aca="false">IF(SUM(G49:G52)=0,0,SUMPRODUCT(B49:B52,G49:G52)/SUM(G49:G52))</f>
        <v>3103034.52488372</v>
      </c>
      <c r="F59" s="21" t="n">
        <f aca="false">IF(SUM(G49:G52)=0,0,SUMPRODUCT($C$4:$C$7,G49:G52)/SUM(G49:G52))</f>
        <v>334203.906976744</v>
      </c>
    </row>
    <row r="60" customFormat="false" ht="15" hidden="false" customHeight="true" outlineLevel="0" collapsed="false">
      <c r="A60" s="3" t="s">
        <v>168</v>
      </c>
    </row>
    <row r="62" customFormat="false" ht="15" hidden="false" customHeight="true" outlineLevel="0" collapsed="false">
      <c r="A62" s="4" t="s">
        <v>169</v>
      </c>
    </row>
    <row r="63" customFormat="false" ht="15" hidden="false" customHeight="true" outlineLevel="0" collapsed="false">
      <c r="A63" s="11" t="s">
        <v>170</v>
      </c>
      <c r="B63" s="11" t="s">
        <v>171</v>
      </c>
      <c r="C63" s="11" t="s">
        <v>172</v>
      </c>
      <c r="D63" s="11" t="s">
        <v>173</v>
      </c>
      <c r="E63" s="11" t="s">
        <v>174</v>
      </c>
      <c r="F63" s="11" t="s">
        <v>175</v>
      </c>
      <c r="G63" s="11" t="s">
        <v>176</v>
      </c>
    </row>
    <row r="64" customFormat="false" ht="15" hidden="false" customHeight="true" outlineLevel="0" collapsed="false">
      <c r="A64" s="1" t="s">
        <v>177</v>
      </c>
      <c r="B64" s="29" t="n">
        <v>0.06</v>
      </c>
      <c r="C64" s="29" t="n">
        <v>0.065</v>
      </c>
      <c r="D64" s="29" t="n">
        <v>0.07</v>
      </c>
      <c r="E64" s="29" t="n">
        <v>0.075</v>
      </c>
      <c r="F64" s="29" t="n">
        <v>0.08</v>
      </c>
      <c r="G64" s="29" t="n">
        <v>0.085</v>
      </c>
    </row>
    <row r="65" customFormat="false" ht="15" hidden="false" customHeight="true" outlineLevel="0" collapsed="false">
      <c r="A65" s="1" t="s">
        <v>178</v>
      </c>
      <c r="B65" s="21" t="n">
        <f aca="false">$C$9/B64</f>
        <v>6085050</v>
      </c>
      <c r="C65" s="21" t="n">
        <f aca="false">$C$9/C64</f>
        <v>5616969.23076923</v>
      </c>
      <c r="D65" s="21" t="n">
        <f aca="false">$C$9/D64</f>
        <v>5215757.14285714</v>
      </c>
      <c r="E65" s="21" t="n">
        <f aca="false">$C$9/E64</f>
        <v>4868040</v>
      </c>
      <c r="F65" s="21" t="n">
        <f aca="false">$C$9/F64</f>
        <v>4563787.5</v>
      </c>
      <c r="G65" s="21" t="n">
        <f aca="false">$C$9/G64</f>
        <v>4295329.41176471</v>
      </c>
    </row>
    <row r="66" customFormat="false" ht="15" hidden="false" customHeight="true" outlineLevel="0" collapsed="false">
      <c r="A66" s="1" t="s">
        <v>179</v>
      </c>
      <c r="B66" s="21" t="n">
        <f aca="false">B65*(1-Assumptions!$B$25)-$B$9</f>
        <v>2042269.90875</v>
      </c>
      <c r="C66" s="21" t="n">
        <f aca="false">C65*(1-Assumptions!$B$25)-$B$9</f>
        <v>1592912.37028846</v>
      </c>
      <c r="D66" s="21" t="n">
        <f aca="false">D65*(1-Assumptions!$B$25)-$B$9</f>
        <v>1207748.76589286</v>
      </c>
      <c r="E66" s="21" t="n">
        <f aca="false">E65*(1-Assumptions!$B$25)-$B$9</f>
        <v>873940.30875</v>
      </c>
      <c r="F66" s="21" t="n">
        <f aca="false">F65*(1-Assumptions!$B$25)-$B$9</f>
        <v>581857.90875</v>
      </c>
      <c r="G66" s="21" t="n">
        <f aca="false">G65*(1-Assumptions!$B$25)-$B$9</f>
        <v>324138.144044118</v>
      </c>
    </row>
    <row r="67" customFormat="false" ht="15" hidden="false" customHeight="true" outlineLevel="0" collapsed="false">
      <c r="A67" s="1" t="s">
        <v>180</v>
      </c>
      <c r="B67" s="20" t="n">
        <f aca="false">IF(B66&lt;=$H$9,B66/$B$9,(B66-((1-Assumptions!$B$23)*MIN(B66-$H$9,MAX(Assumptions!$B$22*$B$9-$H$9,0)/Assumptions!$B$23)+(1-Assumptions!$B$24)*MAX(B66-$H$9-MIN(B66-$H$9,MAX(Assumptions!$B$22*$B$9-$H$9,0)/Assumptions!$B$23),0)))/$B$9)</f>
        <v>0.360192282186046</v>
      </c>
      <c r="C67" s="20" t="n">
        <f aca="false">IF(C66&lt;=$H$9,C66/$B$9,(C66-((1-Assumptions!$B$23)*MIN(C66-$H$9,MAX(Assumptions!$B$22*$B$9-$H$9,0)/Assumptions!$B$23)+(1-Assumptions!$B$24)*MAX(C66-$H$9-MIN(C66-$H$9,MAX(Assumptions!$B$22*$B$9-$H$9,0)/Assumptions!$B$23),0)))/$B$9)</f>
        <v>0.301056612127779</v>
      </c>
      <c r="D67" s="20" t="n">
        <f aca="false">IF(D66&lt;=$H$9,D66/$B$9,(D66-((1-Assumptions!$B$23)*MIN(D66-$H$9,MAX(Assumptions!$B$22*$B$9-$H$9,0)/Assumptions!$B$23)+(1-Assumptions!$B$24)*MAX(D66-$H$9-MIN(D66-$H$9,MAX(Assumptions!$B$22*$B$9-$H$9,0)/Assumptions!$B$23),0)))/$B$9)</f>
        <v>0.250368894934978</v>
      </c>
      <c r="E67" s="20" t="n">
        <f aca="false">IF(E66&lt;=$H$9,E66/$B$9,(E66-((1-Assumptions!$B$23)*MIN(E66-$H$9,MAX(Assumptions!$B$22*$B$9-$H$9,0)/Assumptions!$B$23)+(1-Assumptions!$B$24)*MAX(E66-$H$9-MIN(E66-$H$9,MAX(Assumptions!$B$22*$B$9-$H$9,0)/Assumptions!$B$23),0)))/$B$9)</f>
        <v>0.206439540034551</v>
      </c>
      <c r="F67" s="20" t="n">
        <f aca="false">IF(F66&lt;=$H$9,F66/$B$9,(F66-((1-Assumptions!$B$23)*MIN(F66-$H$9,MAX(Assumptions!$B$22*$B$9-$H$9,0)/Assumptions!$B$23)+(1-Assumptions!$B$24)*MAX(F66-$H$9-MIN(F66-$H$9,MAX(Assumptions!$B$22*$B$9-$H$9,0)/Assumptions!$B$23),0)))/$B$9)</f>
        <v>0.153145566136212</v>
      </c>
      <c r="G67" s="20" t="n">
        <f aca="false">IF(G66&lt;=$H$9,G66/$B$9,(G66-((1-Assumptions!$B$23)*MIN(G66-$H$9,MAX(Assumptions!$B$22*$B$9-$H$9,0)/Assumptions!$B$23)+(1-Assumptions!$B$24)*MAX(G66-$H$9-MIN(G66-$H$9,MAX(Assumptions!$B$22*$B$9-$H$9,0)/Assumptions!$B$23),0)))/$B$9)</f>
        <v>0.085313474010552</v>
      </c>
    </row>
    <row r="68" customFormat="false" ht="15" hidden="false" customHeight="true" outlineLevel="0" collapsed="false">
      <c r="A68" s="3" t="s">
        <v>181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10"/>
    <col collapsed="false" customWidth="true" hidden="false" outlineLevel="0" max="3" min="3" style="1" width="12"/>
    <col collapsed="false" customWidth="true" hidden="false" outlineLevel="0" max="4" min="4" style="1" width="22"/>
    <col collapsed="false" customWidth="true" hidden="false" outlineLevel="0" max="5" min="5" style="1" width="26"/>
    <col collapsed="false" customWidth="true" hidden="false" outlineLevel="0" max="7" min="6" style="1" width="14"/>
    <col collapsed="false" customWidth="true" hidden="false" outlineLevel="0" max="8" min="8" style="1" width="13"/>
  </cols>
  <sheetData>
    <row r="1" customFormat="false" ht="15.75" hidden="false" customHeight="true" outlineLevel="0" collapsed="false">
      <c r="A1" s="30" t="s">
        <v>182</v>
      </c>
    </row>
    <row r="2" customFormat="false" ht="15" hidden="false" customHeight="true" outlineLevel="0" collapsed="false">
      <c r="A2" s="3" t="s">
        <v>183</v>
      </c>
    </row>
    <row r="4" customFormat="false" ht="26.25" hidden="false" customHeight="true" outlineLevel="0" collapsed="false">
      <c r="A4" s="13" t="s">
        <v>184</v>
      </c>
      <c r="B4" s="13" t="s">
        <v>185</v>
      </c>
      <c r="C4" s="13" t="s">
        <v>186</v>
      </c>
      <c r="D4" s="13" t="s">
        <v>187</v>
      </c>
      <c r="E4" s="13" t="s">
        <v>188</v>
      </c>
      <c r="F4" s="13" t="s">
        <v>189</v>
      </c>
      <c r="G4" s="13" t="s">
        <v>190</v>
      </c>
      <c r="H4" s="13" t="s">
        <v>191</v>
      </c>
    </row>
    <row r="5" customFormat="false" ht="15" hidden="false" customHeight="true" outlineLevel="0" collapsed="false">
      <c r="A5" s="1" t="s">
        <v>192</v>
      </c>
      <c r="B5" s="1" t="s">
        <v>193</v>
      </c>
      <c r="C5" s="21" t="n">
        <v>600000</v>
      </c>
      <c r="D5" s="1" t="s">
        <v>194</v>
      </c>
      <c r="E5" s="1" t="s">
        <v>195</v>
      </c>
      <c r="F5" s="1" t="s">
        <v>196</v>
      </c>
      <c r="G5" s="21" t="n">
        <f aca="false">PerDeal!B4</f>
        <v>2017991.19</v>
      </c>
      <c r="H5" s="20" t="n">
        <f aca="false">PerDeal!Q4</f>
        <v>0.375</v>
      </c>
    </row>
    <row r="6" customFormat="false" ht="15" hidden="false" customHeight="true" outlineLevel="0" collapsed="false">
      <c r="A6" s="1" t="s">
        <v>197</v>
      </c>
      <c r="B6" s="1" t="s">
        <v>193</v>
      </c>
      <c r="C6" s="21" t="n">
        <v>600000</v>
      </c>
      <c r="D6" s="1" t="s">
        <v>198</v>
      </c>
      <c r="E6" s="1" t="s">
        <v>199</v>
      </c>
      <c r="F6" s="1" t="s">
        <v>196</v>
      </c>
      <c r="G6" s="21" t="n">
        <f aca="false">PerDeal!B5</f>
        <v>2690631.76</v>
      </c>
      <c r="H6" s="20" t="n">
        <f aca="false">PerDeal!Q5</f>
        <v>0.375</v>
      </c>
    </row>
    <row r="7" customFormat="false" ht="15" hidden="false" customHeight="true" outlineLevel="0" collapsed="false">
      <c r="A7" s="1" t="s">
        <v>200</v>
      </c>
      <c r="B7" s="1" t="s">
        <v>201</v>
      </c>
      <c r="C7" s="21" t="n">
        <v>360000</v>
      </c>
      <c r="D7" s="1" t="s">
        <v>202</v>
      </c>
      <c r="E7" s="1" t="s">
        <v>203</v>
      </c>
      <c r="F7" s="1" t="s">
        <v>196</v>
      </c>
      <c r="G7" s="21" t="n">
        <f aca="false">PerDeal!B6</f>
        <v>6953610.21</v>
      </c>
      <c r="H7" s="20" t="n">
        <f aca="false">PerDeal!Q6</f>
        <v>0.125</v>
      </c>
    </row>
    <row r="8" customFormat="false" ht="15" hidden="false" customHeight="true" outlineLevel="0" collapsed="false">
      <c r="A8" s="1" t="s">
        <v>204</v>
      </c>
      <c r="B8" s="1" t="s">
        <v>205</v>
      </c>
      <c r="C8" s="21" t="n">
        <v>750000</v>
      </c>
      <c r="D8" s="1" t="s">
        <v>206</v>
      </c>
      <c r="E8" s="1" t="s">
        <v>207</v>
      </c>
      <c r="F8" s="1" t="s">
        <v>196</v>
      </c>
      <c r="G8" s="21" t="n">
        <f aca="false">PerDeal!B7</f>
        <v>9315545.67</v>
      </c>
      <c r="H8" s="20" t="n">
        <f aca="false">PerDeal!Q7</f>
        <v>0.125</v>
      </c>
    </row>
    <row r="9" customFormat="false" ht="15" hidden="false" customHeight="true" outlineLevel="0" collapsed="false">
      <c r="A9" s="31" t="s">
        <v>208</v>
      </c>
      <c r="B9" s="31" t="s">
        <v>209</v>
      </c>
      <c r="C9" s="32" t="n">
        <v>300000</v>
      </c>
      <c r="D9" s="31" t="s">
        <v>210</v>
      </c>
      <c r="E9" s="31" t="s">
        <v>211</v>
      </c>
      <c r="F9" s="31" t="s">
        <v>212</v>
      </c>
      <c r="G9" s="31"/>
      <c r="H9" s="31"/>
    </row>
    <row r="10" customFormat="false" ht="15" hidden="false" customHeight="true" outlineLevel="0" collapsed="false">
      <c r="A10" s="31" t="s">
        <v>213</v>
      </c>
      <c r="B10" s="31" t="s">
        <v>214</v>
      </c>
      <c r="C10" s="32" t="n">
        <v>450000</v>
      </c>
      <c r="D10" s="31" t="s">
        <v>215</v>
      </c>
      <c r="E10" s="31" t="s">
        <v>216</v>
      </c>
      <c r="F10" s="31" t="s">
        <v>212</v>
      </c>
      <c r="G10" s="31"/>
      <c r="H10" s="31"/>
    </row>
    <row r="11" customFormat="false" ht="15" hidden="false" customHeight="true" outlineLevel="0" collapsed="false">
      <c r="A11" s="31" t="s">
        <v>217</v>
      </c>
      <c r="B11" s="31" t="s">
        <v>214</v>
      </c>
      <c r="C11" s="32" t="n">
        <v>450000</v>
      </c>
      <c r="D11" s="31" t="s">
        <v>218</v>
      </c>
      <c r="E11" s="31" t="s">
        <v>219</v>
      </c>
      <c r="F11" s="31" t="s">
        <v>212</v>
      </c>
      <c r="G11" s="31"/>
      <c r="H11" s="31"/>
    </row>
    <row r="13" customFormat="false" ht="15" hidden="false" customHeight="true" outlineLevel="0" collapsed="false">
      <c r="A13" s="4" t="s">
        <v>220</v>
      </c>
    </row>
    <row r="14" customFormat="false" ht="15" hidden="false" customHeight="true" outlineLevel="0" collapsed="false">
      <c r="A14" s="1" t="s">
        <v>221</v>
      </c>
      <c r="B14" s="1" t="n">
        <v>4</v>
      </c>
    </row>
    <row r="15" customFormat="false" ht="15" hidden="false" customHeight="true" outlineLevel="0" collapsed="false">
      <c r="A15" s="1" t="s">
        <v>222</v>
      </c>
      <c r="B15" s="1" t="n">
        <v>3</v>
      </c>
    </row>
    <row r="16" customFormat="false" ht="15" hidden="false" customHeight="true" outlineLevel="0" collapsed="false">
      <c r="A16" s="1" t="s">
        <v>223</v>
      </c>
      <c r="B16" s="12" t="n">
        <f aca="false">B14/(B14+B15)</f>
        <v>0.571428571428571</v>
      </c>
    </row>
    <row r="18" customFormat="false" ht="15" hidden="false" customHeight="true" outlineLevel="0" collapsed="false">
      <c r="A18" s="4" t="s">
        <v>224</v>
      </c>
    </row>
    <row r="19" customFormat="false" ht="15" hidden="false" customHeight="true" outlineLevel="0" collapsed="false">
      <c r="A19" s="3" t="s">
        <v>225</v>
      </c>
    </row>
    <row r="21" customFormat="false" ht="15" hidden="false" customHeight="true" outlineLevel="0" collapsed="false">
      <c r="A21" s="3" t="s">
        <v>226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15"/>
    <col collapsed="false" customWidth="true" hidden="false" outlineLevel="0" max="3" min="3" style="1" width="30"/>
    <col collapsed="false" customWidth="true" hidden="false" outlineLevel="0" max="4" min="4" style="1" width="26"/>
    <col collapsed="false" customWidth="true" hidden="false" outlineLevel="0" max="5" min="5" style="1" width="15"/>
    <col collapsed="false" customWidth="true" hidden="false" outlineLevel="0" max="6" min="6" style="1" width="13"/>
    <col collapsed="false" customWidth="true" hidden="false" outlineLevel="0" max="7" min="7" style="1" width="34"/>
  </cols>
  <sheetData>
    <row r="1" customFormat="false" ht="15.75" hidden="false" customHeight="true" outlineLevel="0" collapsed="false">
      <c r="A1" s="30" t="s">
        <v>227</v>
      </c>
    </row>
    <row r="2" customFormat="false" ht="15" hidden="false" customHeight="true" outlineLevel="0" collapsed="false">
      <c r="A2" s="3" t="s">
        <v>228</v>
      </c>
    </row>
    <row r="4" customFormat="false" ht="15" hidden="false" customHeight="true" outlineLevel="0" collapsed="false">
      <c r="A4" s="13" t="s">
        <v>229</v>
      </c>
      <c r="B4" s="13" t="s">
        <v>190</v>
      </c>
      <c r="C4" s="13" t="s">
        <v>230</v>
      </c>
      <c r="D4" s="13" t="s">
        <v>231</v>
      </c>
      <c r="E4" s="13" t="s">
        <v>232</v>
      </c>
      <c r="F4" s="13" t="s">
        <v>233</v>
      </c>
      <c r="G4" s="13" t="s">
        <v>234</v>
      </c>
    </row>
    <row r="5" customFormat="false" ht="45.75" hidden="false" customHeight="true" outlineLevel="0" collapsed="false">
      <c r="A5" s="33" t="s">
        <v>192</v>
      </c>
      <c r="B5" s="34" t="n">
        <f aca="false">PerDeal!B4</f>
        <v>2017991.19</v>
      </c>
      <c r="C5" s="33" t="s">
        <v>235</v>
      </c>
      <c r="D5" s="33" t="s">
        <v>236</v>
      </c>
      <c r="E5" s="35" t="n">
        <f aca="false">PerDeal!R4</f>
        <v>0.0725</v>
      </c>
      <c r="F5" s="33" t="s">
        <v>237</v>
      </c>
      <c r="G5" s="33" t="s">
        <v>238</v>
      </c>
    </row>
    <row r="6" customFormat="false" ht="45.75" hidden="false" customHeight="true" outlineLevel="0" collapsed="false">
      <c r="A6" s="33" t="s">
        <v>197</v>
      </c>
      <c r="B6" s="34" t="n">
        <f aca="false">PerDeal!B5</f>
        <v>2690631.76</v>
      </c>
      <c r="C6" s="33" t="s">
        <v>239</v>
      </c>
      <c r="D6" s="33" t="s">
        <v>240</v>
      </c>
      <c r="E6" s="35" t="n">
        <f aca="false">PerDeal!R5</f>
        <v>0.0725</v>
      </c>
      <c r="F6" s="33" t="s">
        <v>237</v>
      </c>
      <c r="G6" s="33" t="s">
        <v>241</v>
      </c>
    </row>
    <row r="7" customFormat="false" ht="45.75" hidden="false" customHeight="true" outlineLevel="0" collapsed="false">
      <c r="A7" s="33" t="s">
        <v>200</v>
      </c>
      <c r="B7" s="34" t="n">
        <f aca="false">PerDeal!B6</f>
        <v>6953610.21</v>
      </c>
      <c r="C7" s="33" t="s">
        <v>242</v>
      </c>
      <c r="D7" s="33" t="s">
        <v>243</v>
      </c>
      <c r="E7" s="35" t="n">
        <f aca="false">PerDeal!R6</f>
        <v>0.0625</v>
      </c>
      <c r="F7" s="33" t="s">
        <v>237</v>
      </c>
      <c r="G7" s="33" t="s">
        <v>244</v>
      </c>
    </row>
    <row r="8" customFormat="false" ht="45.75" hidden="false" customHeight="true" outlineLevel="0" collapsed="false">
      <c r="A8" s="36" t="s">
        <v>204</v>
      </c>
      <c r="B8" s="37" t="n">
        <f aca="false">PerDeal!B7</f>
        <v>9315545.67</v>
      </c>
      <c r="C8" s="36" t="s">
        <v>245</v>
      </c>
      <c r="D8" s="36" t="s">
        <v>246</v>
      </c>
      <c r="E8" s="38" t="n">
        <f aca="false">PerDeal!R7</f>
        <v>0.0575</v>
      </c>
      <c r="F8" s="36" t="s">
        <v>247</v>
      </c>
      <c r="G8" s="36" t="s">
        <v>248</v>
      </c>
    </row>
    <row r="9" customFormat="false" ht="45.75" hidden="false" customHeight="true" outlineLevel="0" collapsed="false">
      <c r="A9" s="36" t="s">
        <v>208</v>
      </c>
      <c r="B9" s="36" t="s">
        <v>212</v>
      </c>
      <c r="C9" s="36" t="s">
        <v>249</v>
      </c>
      <c r="D9" s="36" t="s">
        <v>250</v>
      </c>
      <c r="E9" s="36"/>
      <c r="F9" s="36" t="s">
        <v>251</v>
      </c>
      <c r="G9" s="36" t="s">
        <v>252</v>
      </c>
    </row>
    <row r="10" customFormat="false" ht="45.75" hidden="false" customHeight="true" outlineLevel="0" collapsed="false">
      <c r="A10" s="36" t="s">
        <v>213</v>
      </c>
      <c r="B10" s="36" t="s">
        <v>212</v>
      </c>
      <c r="C10" s="36" t="s">
        <v>253</v>
      </c>
      <c r="D10" s="36" t="s">
        <v>254</v>
      </c>
      <c r="E10" s="36"/>
      <c r="F10" s="36" t="s">
        <v>251</v>
      </c>
      <c r="G10" s="36" t="s">
        <v>255</v>
      </c>
    </row>
    <row r="11" customFormat="false" ht="45.75" hidden="false" customHeight="true" outlineLevel="0" collapsed="false">
      <c r="A11" s="36" t="s">
        <v>217</v>
      </c>
      <c r="B11" s="36" t="s">
        <v>212</v>
      </c>
      <c r="C11" s="36" t="s">
        <v>256</v>
      </c>
      <c r="D11" s="36" t="s">
        <v>257</v>
      </c>
      <c r="E11" s="36"/>
      <c r="F11" s="36" t="s">
        <v>251</v>
      </c>
      <c r="G11" s="36" t="s">
        <v>258</v>
      </c>
    </row>
    <row r="14" customFormat="false" ht="15" hidden="false" customHeight="true" outlineLevel="0" collapsed="false">
      <c r="A14" s="4" t="s">
        <v>259</v>
      </c>
    </row>
    <row r="15" customFormat="false" ht="57.75" hidden="false" customHeight="true" outlineLevel="0" collapsed="false">
      <c r="A15" s="39" t="s">
        <v>260</v>
      </c>
    </row>
    <row r="16" customFormat="false" ht="57.75" hidden="false" customHeight="true" outlineLevel="0" collapsed="false">
      <c r="A16" s="39" t="s">
        <v>261</v>
      </c>
    </row>
    <row r="17" customFormat="false" ht="57.75" hidden="false" customHeight="true" outlineLevel="0" collapsed="false">
      <c r="A17" s="39" t="s">
        <v>262</v>
      </c>
    </row>
    <row r="19" customFormat="false" ht="43.5" hidden="false" customHeight="true" outlineLevel="0" collapsed="false">
      <c r="A19" s="40" t="s">
        <v>263</v>
      </c>
    </row>
    <row r="22" customFormat="false" ht="15" hidden="false" customHeight="true" outlineLevel="0" collapsed="false">
      <c r="A22" s="18" t="s">
        <v>264</v>
      </c>
    </row>
    <row r="23" customFormat="false" ht="15" hidden="false" customHeight="true" outlineLevel="0" collapsed="false">
      <c r="A23" s="3" t="s">
        <v>265</v>
      </c>
    </row>
    <row r="24" customFormat="false" ht="39" hidden="false" customHeight="true" outlineLevel="0" collapsed="false">
      <c r="A24" s="13" t="s">
        <v>229</v>
      </c>
      <c r="B24" s="13" t="s">
        <v>266</v>
      </c>
      <c r="C24" s="13" t="s">
        <v>267</v>
      </c>
      <c r="D24" s="13" t="s">
        <v>268</v>
      </c>
      <c r="E24" s="13" t="s">
        <v>269</v>
      </c>
      <c r="F24" s="13" t="s">
        <v>270</v>
      </c>
      <c r="G24" s="13" t="s">
        <v>271</v>
      </c>
    </row>
    <row r="25" customFormat="false" ht="30" hidden="false" customHeight="true" outlineLevel="0" collapsed="false">
      <c r="A25" s="1" t="s">
        <v>192</v>
      </c>
      <c r="B25" s="9" t="n">
        <v>600000</v>
      </c>
      <c r="C25" s="20" t="n">
        <f aca="false">B25/PerDeal!B4</f>
        <v>0.297325381286724</v>
      </c>
      <c r="D25" s="21" t="n">
        <f aca="false">B25</f>
        <v>600000</v>
      </c>
      <c r="E25" s="20" t="n">
        <f aca="false">B25/PerDeal!D4</f>
        <v>0.183080808080808</v>
      </c>
      <c r="F25" s="41" t="s">
        <v>272</v>
      </c>
      <c r="G25" s="8" t="n">
        <v>0.55</v>
      </c>
    </row>
    <row r="26" customFormat="false" ht="30" hidden="false" customHeight="true" outlineLevel="0" collapsed="false">
      <c r="A26" s="1" t="s">
        <v>197</v>
      </c>
      <c r="B26" s="9" t="n">
        <v>600000</v>
      </c>
      <c r="C26" s="20" t="n">
        <f aca="false">B26/PerDeal!B5</f>
        <v>0.222995955418292</v>
      </c>
      <c r="D26" s="21" t="n">
        <f aca="false">B26</f>
        <v>600000</v>
      </c>
      <c r="E26" s="20" t="n">
        <f aca="false">B26/PerDeal!D5</f>
        <v>0.137051039697543</v>
      </c>
      <c r="F26" s="41" t="s">
        <v>273</v>
      </c>
      <c r="G26" s="8" t="n">
        <v>0.55</v>
      </c>
    </row>
    <row r="27" customFormat="false" ht="30" hidden="false" customHeight="true" outlineLevel="0" collapsed="false">
      <c r="A27" s="1" t="s">
        <v>200</v>
      </c>
      <c r="B27" s="9" t="n">
        <v>360000</v>
      </c>
      <c r="C27" s="20" t="n">
        <f aca="false">B27/PerDeal!B6</f>
        <v>0.0517716681159786</v>
      </c>
      <c r="D27" s="21" t="n">
        <f aca="false">B27</f>
        <v>360000</v>
      </c>
      <c r="E27" s="20" t="n">
        <f aca="false">B27/PerDeal!D6</f>
        <v>0.0359526000920387</v>
      </c>
      <c r="F27" s="41" t="s">
        <v>274</v>
      </c>
      <c r="G27" s="8" t="n">
        <v>0.65</v>
      </c>
    </row>
    <row r="28" customFormat="false" ht="30" hidden="false" customHeight="true" outlineLevel="0" collapsed="false">
      <c r="A28" s="1" t="s">
        <v>204</v>
      </c>
      <c r="B28" s="9" t="n">
        <v>750000</v>
      </c>
      <c r="C28" s="20" t="n">
        <f aca="false">B28/PerDeal!B7</f>
        <v>0.0805105816200674</v>
      </c>
      <c r="D28" s="21" t="n">
        <f aca="false">B28</f>
        <v>750000</v>
      </c>
      <c r="E28" s="20" t="n">
        <f aca="false">B28/PerDeal!D7</f>
        <v>0.068452380952381</v>
      </c>
      <c r="F28" s="41" t="s">
        <v>275</v>
      </c>
      <c r="G28" s="8" t="n">
        <v>0.7</v>
      </c>
    </row>
    <row r="30" customFormat="false" ht="72" hidden="false" customHeight="true" outlineLevel="0" collapsed="false">
      <c r="A30" s="39" t="s">
        <v>276</v>
      </c>
    </row>
    <row r="31" customFormat="false" ht="72" hidden="false" customHeight="true" outlineLevel="0" collapsed="false">
      <c r="A31" s="39" t="s">
        <v>277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5" min="2" style="1" width="17"/>
  </cols>
  <sheetData>
    <row r="1" customFormat="false" ht="15.75" hidden="false" customHeight="true" outlineLevel="0" collapsed="false">
      <c r="A1" s="30" t="s">
        <v>278</v>
      </c>
    </row>
    <row r="2" customFormat="false" ht="15" hidden="false" customHeight="true" outlineLevel="0" collapsed="false">
      <c r="A2" s="3" t="s">
        <v>279</v>
      </c>
    </row>
    <row r="4" customFormat="false" ht="15" hidden="false" customHeight="true" outlineLevel="0" collapsed="false">
      <c r="A4" s="11" t="s">
        <v>280</v>
      </c>
      <c r="B4" s="11" t="s">
        <v>281</v>
      </c>
      <c r="C4" s="11" t="s">
        <v>282</v>
      </c>
      <c r="D4" s="11" t="s">
        <v>283</v>
      </c>
      <c r="E4" s="11" t="s">
        <v>284</v>
      </c>
    </row>
    <row r="5" customFormat="false" ht="15" hidden="false" customHeight="true" outlineLevel="0" collapsed="false">
      <c r="A5" s="1" t="s">
        <v>285</v>
      </c>
      <c r="B5" s="21" t="n">
        <f aca="false">PerDeal!E57</f>
        <v>1006892.09686364</v>
      </c>
      <c r="C5" s="21" t="n">
        <f aca="false">PerDeal!E58</f>
        <v>2578810.201</v>
      </c>
      <c r="D5" s="21" t="n">
        <f aca="false">PerDeal!E59</f>
        <v>3103034.52488372</v>
      </c>
      <c r="E5" s="21" t="n">
        <f aca="false">PerDeal!B9</f>
        <v>3799378.09125</v>
      </c>
    </row>
    <row r="6" customFormat="false" ht="15" hidden="false" customHeight="true" outlineLevel="0" collapsed="false">
      <c r="A6" s="1" t="s">
        <v>61</v>
      </c>
      <c r="B6" s="1" t="n">
        <f aca="false">Assumptions!C46</f>
        <v>9</v>
      </c>
      <c r="C6" s="1" t="n">
        <f aca="false">Assumptions!C47</f>
        <v>15</v>
      </c>
      <c r="D6" s="1" t="n">
        <f aca="false">Assumptions!C48</f>
        <v>24</v>
      </c>
      <c r="E6" s="1" t="s">
        <v>286</v>
      </c>
    </row>
    <row r="7" customFormat="false" ht="15" hidden="false" customHeight="true" outlineLevel="0" collapsed="false">
      <c r="A7" s="1" t="s">
        <v>287</v>
      </c>
      <c r="B7" s="21" t="n">
        <f aca="false">0</f>
        <v>0</v>
      </c>
      <c r="C7" s="21" t="n">
        <f aca="false">0</f>
        <v>0</v>
      </c>
      <c r="D7" s="21" t="n">
        <f aca="false">PerDeal!F59*0.98*MAX(Assumptions!$C$48-Assumptions!$B$53,0)/12</f>
        <v>245639.871627907</v>
      </c>
      <c r="E7" s="21" t="n">
        <f aca="false">PerDeal!C9*0.98</f>
        <v>357800.94</v>
      </c>
    </row>
    <row r="8" customFormat="false" ht="15" hidden="false" customHeight="true" outlineLevel="0" collapsed="false">
      <c r="A8" s="1" t="s">
        <v>288</v>
      </c>
      <c r="B8" s="21" t="n">
        <f aca="false">PerDeal!C57</f>
        <v>254107.094714487</v>
      </c>
      <c r="C8" s="21" t="n">
        <f aca="false">PerDeal!C58</f>
        <v>565624.880871106</v>
      </c>
      <c r="D8" s="21" t="n">
        <f aca="false">PerDeal!C59</f>
        <v>1052769.86510301</v>
      </c>
      <c r="E8" s="1" t="s">
        <v>289</v>
      </c>
    </row>
    <row r="9" customFormat="false" ht="15" hidden="false" customHeight="true" outlineLevel="0" collapsed="false">
      <c r="A9" s="1" t="s">
        <v>290</v>
      </c>
      <c r="B9" s="21" t="n">
        <f aca="false">B5+B7+B8</f>
        <v>1260999.19157812</v>
      </c>
      <c r="C9" s="21" t="n">
        <f aca="false">C5+C7+C8</f>
        <v>3144435.08187111</v>
      </c>
      <c r="D9" s="21" t="n">
        <f aca="false">D5+D7+D8</f>
        <v>4401444.26161464</v>
      </c>
      <c r="E9" s="1" t="s">
        <v>289</v>
      </c>
    </row>
    <row r="10" customFormat="false" ht="15" hidden="false" customHeight="true" outlineLevel="0" collapsed="false">
      <c r="A10" s="4" t="s">
        <v>291</v>
      </c>
      <c r="B10" s="42" t="n">
        <f aca="false">B9/B5</f>
        <v>1.25236775172435</v>
      </c>
      <c r="C10" s="42" t="n">
        <f aca="false">C9/C5</f>
        <v>1.21933559928209</v>
      </c>
      <c r="D10" s="42" t="n">
        <f aca="false">D9/D5</f>
        <v>1.41843225601223</v>
      </c>
      <c r="E10" s="1" t="s">
        <v>289</v>
      </c>
    </row>
    <row r="11" customFormat="false" ht="15" hidden="false" customHeight="true" outlineLevel="0" collapsed="false">
      <c r="A11" s="1" t="s">
        <v>292</v>
      </c>
      <c r="E11" s="43" t="n">
        <f aca="false">PerDeal!C9*0.98/PerDeal!B9</f>
        <v>0.0941735545677906</v>
      </c>
    </row>
    <row r="14" customFormat="false" ht="15" hidden="false" customHeight="true" outlineLevel="0" collapsed="false">
      <c r="A14" s="4" t="s">
        <v>293</v>
      </c>
    </row>
    <row r="15" customFormat="false" ht="15" hidden="false" customHeight="true" outlineLevel="0" collapsed="false">
      <c r="A15" s="11" t="s">
        <v>294</v>
      </c>
      <c r="B15" s="11" t="s">
        <v>281</v>
      </c>
      <c r="C15" s="11" t="s">
        <v>282</v>
      </c>
      <c r="D15" s="11" t="s">
        <v>283</v>
      </c>
    </row>
    <row r="16" customFormat="false" ht="15" hidden="false" customHeight="true" outlineLevel="0" collapsed="false">
      <c r="A16" s="1" t="n">
        <v>0</v>
      </c>
      <c r="B16" s="21" t="n">
        <f aca="false">-B5</f>
        <v>-1006892.09686364</v>
      </c>
      <c r="C16" s="21" t="n">
        <f aca="false">-C5</f>
        <v>-2578810.201</v>
      </c>
      <c r="D16" s="21" t="n">
        <f aca="false">-D5</f>
        <v>-3103034.52488372</v>
      </c>
    </row>
    <row r="17" customFormat="false" ht="15" hidden="false" customHeight="true" outlineLevel="0" collapsed="false">
      <c r="A17" s="1" t="n">
        <v>1</v>
      </c>
      <c r="B17" s="21" t="n">
        <f aca="false">IF($A17&gt;Assumptions!$C$46,0,IF($A17=Assumptions!$C$46,B5+B8,0))</f>
        <v>0</v>
      </c>
      <c r="C17" s="21" t="n">
        <f aca="false">IF($A17&gt;Assumptions!$C$47,0,IF($A17=Assumptions!$C$47,C5+C8,0))</f>
        <v>0</v>
      </c>
      <c r="D17" s="21" t="n">
        <f aca="false">IF($A17&gt;Assumptions!$C$48,0,IF($A17=Assumptions!$C$48,D5+D8,0)+IF(AND($A17&gt;Assumptions!$B$53,$A17&lt;=Assumptions!$C$48),PerDeal!$F$59*0.98/12,0))</f>
        <v>0</v>
      </c>
    </row>
    <row r="18" customFormat="false" ht="15" hidden="false" customHeight="true" outlineLevel="0" collapsed="false">
      <c r="A18" s="1" t="n">
        <v>2</v>
      </c>
      <c r="B18" s="21" t="n">
        <f aca="false">IF($A18&gt;Assumptions!$C$46,0,IF($A18=Assumptions!$C$46,B5+B8,0))</f>
        <v>0</v>
      </c>
      <c r="C18" s="21" t="n">
        <f aca="false">IF($A18&gt;Assumptions!$C$47,0,IF($A18=Assumptions!$C$47,C5+C8,0))</f>
        <v>0</v>
      </c>
      <c r="D18" s="21" t="n">
        <f aca="false">IF($A18&gt;Assumptions!$C$48,0,IF($A18=Assumptions!$C$48,D5+D8,0)+IF(AND($A18&gt;Assumptions!$B$53,$A18&lt;=Assumptions!$C$48),PerDeal!$F$59*0.98/12,0))</f>
        <v>0</v>
      </c>
    </row>
    <row r="19" customFormat="false" ht="15" hidden="false" customHeight="true" outlineLevel="0" collapsed="false">
      <c r="A19" s="1" t="n">
        <v>3</v>
      </c>
      <c r="B19" s="21" t="n">
        <f aca="false">IF($A19&gt;Assumptions!$C$46,0,IF($A19=Assumptions!$C$46,B5+B8,0))</f>
        <v>0</v>
      </c>
      <c r="C19" s="21" t="n">
        <f aca="false">IF($A19&gt;Assumptions!$C$47,0,IF($A19=Assumptions!$C$47,C5+C8,0))</f>
        <v>0</v>
      </c>
      <c r="D19" s="21" t="n">
        <f aca="false">IF($A19&gt;Assumptions!$C$48,0,IF($A19=Assumptions!$C$48,D5+D8,0)+IF(AND($A19&gt;Assumptions!$B$53,$A19&lt;=Assumptions!$C$48),PerDeal!$F$59*0.98/12,0))</f>
        <v>0</v>
      </c>
    </row>
    <row r="20" customFormat="false" ht="15" hidden="false" customHeight="true" outlineLevel="0" collapsed="false">
      <c r="A20" s="1" t="n">
        <v>4</v>
      </c>
      <c r="B20" s="21" t="n">
        <f aca="false">IF($A20&gt;Assumptions!$C$46,0,IF($A20=Assumptions!$C$46,B5+B8,0))</f>
        <v>0</v>
      </c>
      <c r="C20" s="21" t="n">
        <f aca="false">IF($A20&gt;Assumptions!$C$47,0,IF($A20=Assumptions!$C$47,C5+C8,0))</f>
        <v>0</v>
      </c>
      <c r="D20" s="21" t="n">
        <f aca="false">IF($A20&gt;Assumptions!$C$48,0,IF($A20=Assumptions!$C$48,D5+D8,0)+IF(AND($A20&gt;Assumptions!$B$53,$A20&lt;=Assumptions!$C$48),PerDeal!$F$59*0.98/12,0))</f>
        <v>0</v>
      </c>
    </row>
    <row r="21" customFormat="false" ht="15" hidden="false" customHeight="true" outlineLevel="0" collapsed="false">
      <c r="A21" s="1" t="n">
        <v>5</v>
      </c>
      <c r="B21" s="21" t="n">
        <f aca="false">IF($A21&gt;Assumptions!$C$46,0,IF($A21=Assumptions!$C$46,B5+B8,0))</f>
        <v>0</v>
      </c>
      <c r="C21" s="21" t="n">
        <f aca="false">IF($A21&gt;Assumptions!$C$47,0,IF($A21=Assumptions!$C$47,C5+C8,0))</f>
        <v>0</v>
      </c>
      <c r="D21" s="21" t="n">
        <f aca="false">IF($A21&gt;Assumptions!$C$48,0,IF($A21=Assumptions!$C$48,D5+D8,0)+IF(AND($A21&gt;Assumptions!$B$53,$A21&lt;=Assumptions!$C$48),PerDeal!$F$59*0.98/12,0))</f>
        <v>0</v>
      </c>
    </row>
    <row r="22" customFormat="false" ht="15" hidden="false" customHeight="true" outlineLevel="0" collapsed="false">
      <c r="A22" s="1" t="n">
        <v>6</v>
      </c>
      <c r="B22" s="21" t="n">
        <f aca="false">IF($A22&gt;Assumptions!$C$46,0,IF($A22=Assumptions!$C$46,B5+B8,0))</f>
        <v>0</v>
      </c>
      <c r="C22" s="21" t="n">
        <f aca="false">IF($A22&gt;Assumptions!$C$47,0,IF($A22=Assumptions!$C$47,C5+C8,0))</f>
        <v>0</v>
      </c>
      <c r="D22" s="21" t="n">
        <f aca="false">IF($A22&gt;Assumptions!$C$48,0,IF($A22=Assumptions!$C$48,D5+D8,0)+IF(AND($A22&gt;Assumptions!$B$53,$A22&lt;=Assumptions!$C$48),PerDeal!$F$59*0.98/12,0))</f>
        <v>0</v>
      </c>
    </row>
    <row r="23" customFormat="false" ht="15" hidden="false" customHeight="true" outlineLevel="0" collapsed="false">
      <c r="A23" s="1" t="n">
        <v>7</v>
      </c>
      <c r="B23" s="21" t="n">
        <f aca="false">IF($A23&gt;Assumptions!$C$46,0,IF($A23=Assumptions!$C$46,B5+B8,0))</f>
        <v>0</v>
      </c>
      <c r="C23" s="21" t="n">
        <f aca="false">IF($A23&gt;Assumptions!$C$47,0,IF($A23=Assumptions!$C$47,C5+C8,0))</f>
        <v>0</v>
      </c>
      <c r="D23" s="21" t="n">
        <f aca="false">IF($A23&gt;Assumptions!$C$48,0,IF($A23=Assumptions!$C$48,D5+D8,0)+IF(AND($A23&gt;Assumptions!$B$53,$A23&lt;=Assumptions!$C$48),PerDeal!$F$59*0.98/12,0))</f>
        <v>0</v>
      </c>
    </row>
    <row r="24" customFormat="false" ht="15" hidden="false" customHeight="true" outlineLevel="0" collapsed="false">
      <c r="A24" s="1" t="n">
        <v>8</v>
      </c>
      <c r="B24" s="21" t="n">
        <f aca="false">IF($A24&gt;Assumptions!$C$46,0,IF($A24=Assumptions!$C$46,B5+B8,0))</f>
        <v>0</v>
      </c>
      <c r="C24" s="21" t="n">
        <f aca="false">IF($A24&gt;Assumptions!$C$47,0,IF($A24=Assumptions!$C$47,C5+C8,0))</f>
        <v>0</v>
      </c>
      <c r="D24" s="21" t="n">
        <f aca="false">IF($A24&gt;Assumptions!$C$48,0,IF($A24=Assumptions!$C$48,D5+D8,0)+IF(AND($A24&gt;Assumptions!$B$53,$A24&lt;=Assumptions!$C$48),PerDeal!$F$59*0.98/12,0))</f>
        <v>0</v>
      </c>
    </row>
    <row r="25" customFormat="false" ht="15" hidden="false" customHeight="true" outlineLevel="0" collapsed="false">
      <c r="A25" s="1" t="n">
        <v>9</v>
      </c>
      <c r="B25" s="21" t="n">
        <f aca="false">IF($A25&gt;Assumptions!$C$46,0,IF($A25=Assumptions!$C$46,B5+B8,0))</f>
        <v>1260999.19157812</v>
      </c>
      <c r="C25" s="21" t="n">
        <f aca="false">IF($A25&gt;Assumptions!$C$47,0,IF($A25=Assumptions!$C$47,C5+C8,0))</f>
        <v>0</v>
      </c>
      <c r="D25" s="21" t="n">
        <f aca="false">IF($A25&gt;Assumptions!$C$48,0,IF($A25=Assumptions!$C$48,D5+D8,0)+IF(AND($A25&gt;Assumptions!$B$53,$A25&lt;=Assumptions!$C$48),PerDeal!$F$59*0.98/12,0))</f>
        <v>0</v>
      </c>
    </row>
    <row r="26" customFormat="false" ht="15" hidden="false" customHeight="true" outlineLevel="0" collapsed="false">
      <c r="A26" s="1" t="n">
        <v>10</v>
      </c>
      <c r="B26" s="21" t="n">
        <f aca="false">IF($A26&gt;Assumptions!$C$46,0,IF($A26=Assumptions!$C$46,B5+B8,0))</f>
        <v>0</v>
      </c>
      <c r="C26" s="21" t="n">
        <f aca="false">IF($A26&gt;Assumptions!$C$47,0,IF($A26=Assumptions!$C$47,C5+C8,0))</f>
        <v>0</v>
      </c>
      <c r="D26" s="21" t="n">
        <f aca="false">IF($A26&gt;Assumptions!$C$48,0,IF($A26=Assumptions!$C$48,D5+D8,0)+IF(AND($A26&gt;Assumptions!$B$53,$A26&lt;=Assumptions!$C$48),PerDeal!$F$59*0.98/12,0))</f>
        <v>0</v>
      </c>
    </row>
    <row r="27" customFormat="false" ht="15" hidden="false" customHeight="true" outlineLevel="0" collapsed="false">
      <c r="A27" s="1" t="n">
        <v>11</v>
      </c>
      <c r="B27" s="21" t="n">
        <f aca="false">IF($A27&gt;Assumptions!$C$46,0,IF($A27=Assumptions!$C$46,B5+B8,0))</f>
        <v>0</v>
      </c>
      <c r="C27" s="21" t="n">
        <f aca="false">IF($A27&gt;Assumptions!$C$47,0,IF($A27=Assumptions!$C$47,C5+C8,0))</f>
        <v>0</v>
      </c>
      <c r="D27" s="21" t="n">
        <f aca="false">IF($A27&gt;Assumptions!$C$48,0,IF($A27=Assumptions!$C$48,D5+D8,0)+IF(AND($A27&gt;Assumptions!$B$53,$A27&lt;=Assumptions!$C$48),PerDeal!$F$59*0.98/12,0))</f>
        <v>0</v>
      </c>
    </row>
    <row r="28" customFormat="false" ht="15" hidden="false" customHeight="true" outlineLevel="0" collapsed="false">
      <c r="A28" s="1" t="n">
        <v>12</v>
      </c>
      <c r="B28" s="21" t="n">
        <f aca="false">IF($A28&gt;Assumptions!$C$46,0,IF($A28=Assumptions!$C$46,B5+B8,0))</f>
        <v>0</v>
      </c>
      <c r="C28" s="21" t="n">
        <f aca="false">IF($A28&gt;Assumptions!$C$47,0,IF($A28=Assumptions!$C$47,C5+C8,0))</f>
        <v>0</v>
      </c>
      <c r="D28" s="21" t="n">
        <f aca="false">IF($A28&gt;Assumptions!$C$48,0,IF($A28=Assumptions!$C$48,D5+D8,0)+IF(AND($A28&gt;Assumptions!$B$53,$A28&lt;=Assumptions!$C$48),PerDeal!$F$59*0.98/12,0))</f>
        <v>0</v>
      </c>
    </row>
    <row r="29" customFormat="false" ht="15" hidden="false" customHeight="true" outlineLevel="0" collapsed="false">
      <c r="A29" s="1" t="n">
        <v>13</v>
      </c>
      <c r="B29" s="21" t="n">
        <f aca="false">IF($A29&gt;Assumptions!$C$46,0,IF($A29=Assumptions!$C$46,B5+B8,0))</f>
        <v>0</v>
      </c>
      <c r="C29" s="21" t="n">
        <f aca="false">IF($A29&gt;Assumptions!$C$47,0,IF($A29=Assumptions!$C$47,C5+C8,0))</f>
        <v>0</v>
      </c>
      <c r="D29" s="21" t="n">
        <f aca="false">IF($A29&gt;Assumptions!$C$48,0,IF($A29=Assumptions!$C$48,D5+D8,0)+IF(AND($A29&gt;Assumptions!$B$53,$A29&lt;=Assumptions!$C$48),PerDeal!$F$59*0.98/12,0))</f>
        <v>0</v>
      </c>
    </row>
    <row r="30" customFormat="false" ht="15" hidden="false" customHeight="true" outlineLevel="0" collapsed="false">
      <c r="A30" s="1" t="n">
        <v>14</v>
      </c>
      <c r="B30" s="21" t="n">
        <f aca="false">IF($A30&gt;Assumptions!$C$46,0,IF($A30=Assumptions!$C$46,B5+B8,0))</f>
        <v>0</v>
      </c>
      <c r="C30" s="21" t="n">
        <f aca="false">IF($A30&gt;Assumptions!$C$47,0,IF($A30=Assumptions!$C$47,C5+C8,0))</f>
        <v>0</v>
      </c>
      <c r="D30" s="21" t="n">
        <f aca="false">IF($A30&gt;Assumptions!$C$48,0,IF($A30=Assumptions!$C$48,D5+D8,0)+IF(AND($A30&gt;Assumptions!$B$53,$A30&lt;=Assumptions!$C$48),PerDeal!$F$59*0.98/12,0))</f>
        <v>0</v>
      </c>
    </row>
    <row r="31" customFormat="false" ht="15" hidden="false" customHeight="true" outlineLevel="0" collapsed="false">
      <c r="A31" s="1" t="n">
        <v>15</v>
      </c>
      <c r="B31" s="21" t="n">
        <f aca="false">IF($A31&gt;Assumptions!$C$46,0,IF($A31=Assumptions!$C$46,B5+B8,0))</f>
        <v>0</v>
      </c>
      <c r="C31" s="21" t="n">
        <f aca="false">IF($A31&gt;Assumptions!$C$47,0,IF($A31=Assumptions!$C$47,C5+C8,0))</f>
        <v>3144435.08187111</v>
      </c>
      <c r="D31" s="21" t="n">
        <f aca="false">IF($A31&gt;Assumptions!$C$48,0,IF($A31=Assumptions!$C$48,D5+D8,0)+IF(AND($A31&gt;Assumptions!$B$53,$A31&lt;=Assumptions!$C$48),PerDeal!$F$59*0.98/12,0))</f>
        <v>0</v>
      </c>
    </row>
    <row r="32" customFormat="false" ht="15" hidden="false" customHeight="true" outlineLevel="0" collapsed="false">
      <c r="A32" s="1" t="n">
        <v>16</v>
      </c>
      <c r="B32" s="21" t="n">
        <f aca="false">IF($A32&gt;Assumptions!$C$46,0,IF($A32=Assumptions!$C$46,B5+B8,0))</f>
        <v>0</v>
      </c>
      <c r="C32" s="21" t="n">
        <f aca="false">IF($A32&gt;Assumptions!$C$47,0,IF($A32=Assumptions!$C$47,C5+C8,0))</f>
        <v>0</v>
      </c>
      <c r="D32" s="21" t="n">
        <f aca="false">IF($A32&gt;Assumptions!$C$48,0,IF($A32=Assumptions!$C$48,D5+D8,0)+IF(AND($A32&gt;Assumptions!$B$53,$A32&lt;=Assumptions!$C$48),PerDeal!$F$59*0.98/12,0))</f>
        <v>27293.3190697674</v>
      </c>
    </row>
    <row r="33" customFormat="false" ht="15" hidden="false" customHeight="true" outlineLevel="0" collapsed="false">
      <c r="A33" s="1" t="n">
        <v>17</v>
      </c>
      <c r="B33" s="21" t="n">
        <f aca="false">IF($A33&gt;Assumptions!$C$46,0,IF($A33=Assumptions!$C$46,B5+B8,0))</f>
        <v>0</v>
      </c>
      <c r="C33" s="21" t="n">
        <f aca="false">IF($A33&gt;Assumptions!$C$47,0,IF($A33=Assumptions!$C$47,C5+C8,0))</f>
        <v>0</v>
      </c>
      <c r="D33" s="21" t="n">
        <f aca="false">IF($A33&gt;Assumptions!$C$48,0,IF($A33=Assumptions!$C$48,D5+D8,0)+IF(AND($A33&gt;Assumptions!$B$53,$A33&lt;=Assumptions!$C$48),PerDeal!$F$59*0.98/12,0))</f>
        <v>27293.3190697674</v>
      </c>
    </row>
    <row r="34" customFormat="false" ht="15" hidden="false" customHeight="true" outlineLevel="0" collapsed="false">
      <c r="A34" s="1" t="n">
        <v>18</v>
      </c>
      <c r="B34" s="21" t="n">
        <f aca="false">IF($A34&gt;Assumptions!$C$46,0,IF($A34=Assumptions!$C$46,B5+B8,0))</f>
        <v>0</v>
      </c>
      <c r="C34" s="21" t="n">
        <f aca="false">IF($A34&gt;Assumptions!$C$47,0,IF($A34=Assumptions!$C$47,C5+C8,0))</f>
        <v>0</v>
      </c>
      <c r="D34" s="21" t="n">
        <f aca="false">IF($A34&gt;Assumptions!$C$48,0,IF($A34=Assumptions!$C$48,D5+D8,0)+IF(AND($A34&gt;Assumptions!$B$53,$A34&lt;=Assumptions!$C$48),PerDeal!$F$59*0.98/12,0))</f>
        <v>27293.3190697674</v>
      </c>
    </row>
    <row r="35" customFormat="false" ht="15" hidden="false" customHeight="true" outlineLevel="0" collapsed="false">
      <c r="A35" s="1" t="n">
        <v>19</v>
      </c>
      <c r="B35" s="21" t="n">
        <f aca="false">IF($A35&gt;Assumptions!$C$46,0,IF($A35=Assumptions!$C$46,B5+B8,0))</f>
        <v>0</v>
      </c>
      <c r="C35" s="21" t="n">
        <f aca="false">IF($A35&gt;Assumptions!$C$47,0,IF($A35=Assumptions!$C$47,C5+C8,0))</f>
        <v>0</v>
      </c>
      <c r="D35" s="21" t="n">
        <f aca="false">IF($A35&gt;Assumptions!$C$48,0,IF($A35=Assumptions!$C$48,D5+D8,0)+IF(AND($A35&gt;Assumptions!$B$53,$A35&lt;=Assumptions!$C$48),PerDeal!$F$59*0.98/12,0))</f>
        <v>27293.3190697674</v>
      </c>
    </row>
    <row r="36" customFormat="false" ht="15" hidden="false" customHeight="true" outlineLevel="0" collapsed="false">
      <c r="A36" s="1" t="n">
        <v>20</v>
      </c>
      <c r="B36" s="21" t="n">
        <f aca="false">IF($A36&gt;Assumptions!$C$46,0,IF($A36=Assumptions!$C$46,B5+B8,0))</f>
        <v>0</v>
      </c>
      <c r="C36" s="21" t="n">
        <f aca="false">IF($A36&gt;Assumptions!$C$47,0,IF($A36=Assumptions!$C$47,C5+C8,0))</f>
        <v>0</v>
      </c>
      <c r="D36" s="21" t="n">
        <f aca="false">IF($A36&gt;Assumptions!$C$48,0,IF($A36=Assumptions!$C$48,D5+D8,0)+IF(AND($A36&gt;Assumptions!$B$53,$A36&lt;=Assumptions!$C$48),PerDeal!$F$59*0.98/12,0))</f>
        <v>27293.3190697674</v>
      </c>
    </row>
    <row r="37" customFormat="false" ht="15" hidden="false" customHeight="true" outlineLevel="0" collapsed="false">
      <c r="A37" s="1" t="n">
        <v>21</v>
      </c>
      <c r="B37" s="21" t="n">
        <f aca="false">IF($A37&gt;Assumptions!$C$46,0,IF($A37=Assumptions!$C$46,B5+B8,0))</f>
        <v>0</v>
      </c>
      <c r="C37" s="21" t="n">
        <f aca="false">IF($A37&gt;Assumptions!$C$47,0,IF($A37=Assumptions!$C$47,C5+C8,0))</f>
        <v>0</v>
      </c>
      <c r="D37" s="21" t="n">
        <f aca="false">IF($A37&gt;Assumptions!$C$48,0,IF($A37=Assumptions!$C$48,D5+D8,0)+IF(AND($A37&gt;Assumptions!$B$53,$A37&lt;=Assumptions!$C$48),PerDeal!$F$59*0.98/12,0))</f>
        <v>27293.3190697674</v>
      </c>
    </row>
    <row r="38" customFormat="false" ht="15" hidden="false" customHeight="true" outlineLevel="0" collapsed="false">
      <c r="A38" s="1" t="n">
        <v>22</v>
      </c>
      <c r="B38" s="21" t="n">
        <f aca="false">IF($A38&gt;Assumptions!$C$46,0,IF($A38=Assumptions!$C$46,B5+B8,0))</f>
        <v>0</v>
      </c>
      <c r="C38" s="21" t="n">
        <f aca="false">IF($A38&gt;Assumptions!$C$47,0,IF($A38=Assumptions!$C$47,C5+C8,0))</f>
        <v>0</v>
      </c>
      <c r="D38" s="21" t="n">
        <f aca="false">IF($A38&gt;Assumptions!$C$48,0,IF($A38=Assumptions!$C$48,D5+D8,0)+IF(AND($A38&gt;Assumptions!$B$53,$A38&lt;=Assumptions!$C$48),PerDeal!$F$59*0.98/12,0))</f>
        <v>27293.3190697674</v>
      </c>
    </row>
    <row r="39" customFormat="false" ht="15" hidden="false" customHeight="true" outlineLevel="0" collapsed="false">
      <c r="A39" s="1" t="n">
        <v>23</v>
      </c>
      <c r="B39" s="21" t="n">
        <f aca="false">IF($A39&gt;Assumptions!$C$46,0,IF($A39=Assumptions!$C$46,B5+B8,0))</f>
        <v>0</v>
      </c>
      <c r="C39" s="21" t="n">
        <f aca="false">IF($A39&gt;Assumptions!$C$47,0,IF($A39=Assumptions!$C$47,C5+C8,0))</f>
        <v>0</v>
      </c>
      <c r="D39" s="21" t="n">
        <f aca="false">IF($A39&gt;Assumptions!$C$48,0,IF($A39=Assumptions!$C$48,D5+D8,0)+IF(AND($A39&gt;Assumptions!$B$53,$A39&lt;=Assumptions!$C$48),PerDeal!$F$59*0.98/12,0))</f>
        <v>27293.3190697674</v>
      </c>
    </row>
    <row r="40" customFormat="false" ht="15" hidden="false" customHeight="true" outlineLevel="0" collapsed="false">
      <c r="A40" s="1" t="n">
        <v>24</v>
      </c>
      <c r="B40" s="21" t="n">
        <f aca="false">IF($A40&gt;Assumptions!$C$46,0,IF($A40=Assumptions!$C$46,B5+B8,0))</f>
        <v>0</v>
      </c>
      <c r="C40" s="21" t="n">
        <f aca="false">IF($A40&gt;Assumptions!$C$47,0,IF($A40=Assumptions!$C$47,C5+C8,0))</f>
        <v>0</v>
      </c>
      <c r="D40" s="21" t="n">
        <f aca="false">IF($A40&gt;Assumptions!$C$48,0,IF($A40=Assumptions!$C$48,D5+D8,0)+IF(AND($A40&gt;Assumptions!$B$53,$A40&lt;=Assumptions!$C$48),PerDeal!$F$59*0.98/12,0))</f>
        <v>4183097.7090565</v>
      </c>
    </row>
    <row r="42" customFormat="false" ht="15" hidden="false" customHeight="true" outlineLevel="0" collapsed="false">
      <c r="A42" s="1" t="s">
        <v>295</v>
      </c>
      <c r="B42" s="28" t="n">
        <f aca="false">IRR(B16:B40)</f>
        <v>0.0253192173450861</v>
      </c>
      <c r="C42" s="28" t="n">
        <f aca="false">IRR(C16:C40)</f>
        <v>0.0133081839550488</v>
      </c>
      <c r="D42" s="28" t="n">
        <f aca="false">IRR(D16:D40)</f>
        <v>0.0148157941428164</v>
      </c>
    </row>
    <row r="43" customFormat="false" ht="15" hidden="false" customHeight="true" outlineLevel="0" collapsed="false">
      <c r="A43" s="4" t="s">
        <v>296</v>
      </c>
      <c r="B43" s="43" t="n">
        <f aca="false">(1+B42)^12-1</f>
        <v>0.349923532079164</v>
      </c>
      <c r="C43" s="43" t="n">
        <f aca="false">(1+C42)^12-1</f>
        <v>0.171921718364263</v>
      </c>
      <c r="D43" s="43" t="n">
        <f aca="false">(1+D42)^12-1</f>
        <v>0.193016947794736</v>
      </c>
    </row>
    <row r="45" customFormat="false" ht="15" hidden="false" customHeight="true" outlineLevel="0" collapsed="false">
      <c r="A45" s="3" t="s">
        <v>297</v>
      </c>
    </row>
    <row r="46" customFormat="false" ht="15" hidden="false" customHeight="true" outlineLevel="0" collapsed="false">
      <c r="A46" s="3" t="s">
        <v>298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0"/>
    <col collapsed="false" customWidth="true" hidden="false" outlineLevel="0" max="13" min="2" style="1" width="15"/>
    <col collapsed="false" customWidth="true" hidden="false" outlineLevel="0" max="14" min="14" style="1" width="13"/>
    <col collapsed="false" customWidth="true" hidden="false" outlineLevel="0" max="15" min="15" style="1" width="18"/>
  </cols>
  <sheetData>
    <row r="1" customFormat="false" ht="15" hidden="false" customHeight="true" outlineLevel="0" collapsed="false">
      <c r="A1" s="18" t="s">
        <v>299</v>
      </c>
    </row>
    <row r="3" customFormat="false" ht="15" hidden="false" customHeight="true" outlineLevel="0" collapsed="false">
      <c r="A3" s="11" t="s">
        <v>294</v>
      </c>
      <c r="B3" s="11" t="s">
        <v>300</v>
      </c>
      <c r="C3" s="11" t="s">
        <v>301</v>
      </c>
      <c r="D3" s="11" t="s">
        <v>302</v>
      </c>
      <c r="E3" s="11" t="s">
        <v>303</v>
      </c>
      <c r="F3" s="11" t="s">
        <v>304</v>
      </c>
      <c r="G3" s="11" t="s">
        <v>305</v>
      </c>
      <c r="H3" s="11" t="s">
        <v>306</v>
      </c>
      <c r="I3" s="11" t="s">
        <v>285</v>
      </c>
      <c r="J3" s="11" t="s">
        <v>307</v>
      </c>
      <c r="K3" s="11" t="s">
        <v>308</v>
      </c>
      <c r="L3" s="11" t="s">
        <v>309</v>
      </c>
      <c r="M3" s="11" t="s">
        <v>310</v>
      </c>
      <c r="N3" s="11" t="s">
        <v>311</v>
      </c>
      <c r="O3" s="11" t="s">
        <v>312</v>
      </c>
    </row>
    <row r="4" customFormat="false" ht="15" hidden="false" customHeight="true" outlineLevel="0" collapsed="false">
      <c r="A4" s="1" t="n">
        <v>1</v>
      </c>
      <c r="B4" s="1" t="n">
        <f aca="false">IF(A4&lt;=3,Assumptions!$B$5,IF(A4&lt;=6,Assumptions!$B$6,IF(A4&lt;=9,Assumptions!$B$7,IF(A4&lt;=12,Assumptions!$B$8,Assumptions!$B$9))))</f>
        <v>1</v>
      </c>
      <c r="C4" s="1" t="n">
        <f aca="false">IF(A4&gt;Assumptions!$C$46,(1-Assumptions!$B$64)*Assumptions!$B$46*INDEX($B$4:$B$39,A4-Assumptions!$C$46),0)</f>
        <v>0</v>
      </c>
      <c r="D4" s="1" t="n">
        <f aca="false">IF(A4&gt;Assumptions!$C$47,(1-Assumptions!$B$64)*Assumptions!$B$47*INDEX($B$4:$B$39,A4-Assumptions!$C$47),0)</f>
        <v>0</v>
      </c>
      <c r="E4" s="21" t="n">
        <f aca="false">IF(A4&gt;Assumptions!$C$48,(1-Assumptions!$B$64)*Assumptions!$B$48*INDEX($B$4:$B$39,A4-Assumptions!$C$48),0)</f>
        <v>0</v>
      </c>
      <c r="F4" s="21" t="n">
        <f aca="false">B4*(PerDeal!$B$12-Assumptions!$B$61)+M4*Assumptions!$B$61</f>
        <v>191640.8152418</v>
      </c>
      <c r="G4" s="21" t="n">
        <f aca="false">C4*PerDeal!$B$57+D4*PerDeal!$B$58+E4*PerDeal!$B$59</f>
        <v>0</v>
      </c>
      <c r="H4" s="21" t="n">
        <f aca="false">F4+G4</f>
        <v>191640.8152418</v>
      </c>
      <c r="I4" s="21" t="n">
        <f aca="false">B4*PerDeal!$B$21</f>
        <v>2643172.35650625</v>
      </c>
      <c r="J4" s="1" t="n">
        <f aca="false">SUM($B$4:B4)</f>
        <v>1</v>
      </c>
      <c r="K4" s="1" t="n">
        <f aca="false">IF(A4&gt;Assumptions!$B$53,Assumptions!$B$48*(INDEX($J$4:$J$39,A4-Assumptions!$B$53)-IF(A4&gt;Assumptions!$C$48,INDEX($J$4:$J$39,A4-Assumptions!$C$48),0))+Assumptions!$B$49*INDEX($J$4:$J$39,A4-Assumptions!$B$53),0)</f>
        <v>0</v>
      </c>
      <c r="L4" s="21" t="n">
        <f aca="false">K4*PerDeal!$C$9/12*0.98</f>
        <v>0</v>
      </c>
      <c r="M4" s="1" t="n">
        <f aca="false">B4*Assumptions!$B$60</f>
        <v>3</v>
      </c>
      <c r="N4" s="1" t="n">
        <f aca="false">IF(A4&gt;Assumptions!$B$67,Assumptions!$B$64*INDEX($B$4:$B$39,A4-Assumptions!$B$67),0)</f>
        <v>0</v>
      </c>
      <c r="O4" s="21" t="n">
        <f aca="false">N4*PerDeal!$B$9*Assumptions!$B$65*(1-Assumptions!$B$66)</f>
        <v>0</v>
      </c>
    </row>
    <row r="5" customFormat="false" ht="15" hidden="false" customHeight="true" outlineLevel="0" collapsed="false">
      <c r="A5" s="1" t="n">
        <v>2</v>
      </c>
      <c r="B5" s="1" t="n">
        <f aca="false">IF(A5&lt;=3,Assumptions!$B$5,IF(A5&lt;=6,Assumptions!$B$6,IF(A5&lt;=9,Assumptions!$B$7,IF(A5&lt;=12,Assumptions!$B$8,Assumptions!$B$9))))</f>
        <v>1</v>
      </c>
      <c r="C5" s="1" t="n">
        <f aca="false">IF(A5&gt;Assumptions!$C$46,(1-Assumptions!$B$64)*Assumptions!$B$46*INDEX($B$4:$B$39,A5-Assumptions!$C$46),0)</f>
        <v>0</v>
      </c>
      <c r="D5" s="1" t="n">
        <f aca="false">IF(A5&gt;Assumptions!$C$47,(1-Assumptions!$B$64)*Assumptions!$B$47*INDEX($B$4:$B$39,A5-Assumptions!$C$47),0)</f>
        <v>0</v>
      </c>
      <c r="E5" s="21" t="n">
        <f aca="false">IF(A5&gt;Assumptions!$C$48,(1-Assumptions!$B$64)*Assumptions!$B$48*INDEX($B$4:$B$39,A5-Assumptions!$C$48),0)</f>
        <v>0</v>
      </c>
      <c r="F5" s="21" t="n">
        <f aca="false">B5*(PerDeal!$B$12-Assumptions!$B$61)+M5*Assumptions!$B$61</f>
        <v>191640.8152418</v>
      </c>
      <c r="G5" s="21" t="n">
        <f aca="false">C5*PerDeal!$B$57+D5*PerDeal!$B$58+E5*PerDeal!$B$59</f>
        <v>0</v>
      </c>
      <c r="H5" s="21" t="n">
        <f aca="false">F5+G5</f>
        <v>191640.8152418</v>
      </c>
      <c r="I5" s="21" t="n">
        <f aca="false">B5*PerDeal!$B$21</f>
        <v>2643172.35650625</v>
      </c>
      <c r="J5" s="1" t="n">
        <f aca="false">SUM($B$4:B5)</f>
        <v>2</v>
      </c>
      <c r="K5" s="1" t="n">
        <f aca="false">IF(A5&gt;Assumptions!$B$53,Assumptions!$B$48*(INDEX($J$4:$J$39,A5-Assumptions!$B$53)-IF(A5&gt;Assumptions!$C$48,INDEX($J$4:$J$39,A5-Assumptions!$C$48),0))+Assumptions!$B$49*INDEX($J$4:$J$39,A5-Assumptions!$B$53),0)</f>
        <v>0</v>
      </c>
      <c r="L5" s="21" t="n">
        <f aca="false">K5*PerDeal!$C$9/12*0.98</f>
        <v>0</v>
      </c>
      <c r="M5" s="1" t="n">
        <f aca="false">B5*Assumptions!$B$60</f>
        <v>3</v>
      </c>
      <c r="N5" s="1" t="n">
        <f aca="false">IF(A5&gt;Assumptions!$B$67,Assumptions!$B$64*INDEX($B$4:$B$39,A5-Assumptions!$B$67),0)</f>
        <v>0</v>
      </c>
      <c r="O5" s="21" t="n">
        <f aca="false">N5*PerDeal!$B$9*Assumptions!$B$65*(1-Assumptions!$B$66)</f>
        <v>0</v>
      </c>
    </row>
    <row r="6" customFormat="false" ht="15" hidden="false" customHeight="true" outlineLevel="0" collapsed="false">
      <c r="A6" s="1" t="n">
        <v>3</v>
      </c>
      <c r="B6" s="1" t="n">
        <f aca="false">IF(A6&lt;=3,Assumptions!$B$5,IF(A6&lt;=6,Assumptions!$B$6,IF(A6&lt;=9,Assumptions!$B$7,IF(A6&lt;=12,Assumptions!$B$8,Assumptions!$B$9))))</f>
        <v>1</v>
      </c>
      <c r="C6" s="1" t="n">
        <f aca="false">IF(A6&gt;Assumptions!$C$46,(1-Assumptions!$B$64)*Assumptions!$B$46*INDEX($B$4:$B$39,A6-Assumptions!$C$46),0)</f>
        <v>0</v>
      </c>
      <c r="D6" s="1" t="n">
        <f aca="false">IF(A6&gt;Assumptions!$C$47,(1-Assumptions!$B$64)*Assumptions!$B$47*INDEX($B$4:$B$39,A6-Assumptions!$C$47),0)</f>
        <v>0</v>
      </c>
      <c r="E6" s="21" t="n">
        <f aca="false">IF(A6&gt;Assumptions!$C$48,(1-Assumptions!$B$64)*Assumptions!$B$48*INDEX($B$4:$B$39,A6-Assumptions!$C$48),0)</f>
        <v>0</v>
      </c>
      <c r="F6" s="21" t="n">
        <f aca="false">B6*(PerDeal!$B$12-Assumptions!$B$61)+M6*Assumptions!$B$61</f>
        <v>191640.8152418</v>
      </c>
      <c r="G6" s="21" t="n">
        <f aca="false">C6*PerDeal!$B$57+D6*PerDeal!$B$58+E6*PerDeal!$B$59</f>
        <v>0</v>
      </c>
      <c r="H6" s="21" t="n">
        <f aca="false">F6+G6</f>
        <v>191640.8152418</v>
      </c>
      <c r="I6" s="21" t="n">
        <f aca="false">B6*PerDeal!$B$21</f>
        <v>2643172.35650625</v>
      </c>
      <c r="J6" s="1" t="n">
        <f aca="false">SUM($B$4:B6)</f>
        <v>3</v>
      </c>
      <c r="K6" s="1" t="n">
        <f aca="false">IF(A6&gt;Assumptions!$B$53,Assumptions!$B$48*(INDEX($J$4:$J$39,A6-Assumptions!$B$53)-IF(A6&gt;Assumptions!$C$48,INDEX($J$4:$J$39,A6-Assumptions!$C$48),0))+Assumptions!$B$49*INDEX($J$4:$J$39,A6-Assumptions!$B$53),0)</f>
        <v>0</v>
      </c>
      <c r="L6" s="21" t="n">
        <f aca="false">K6*PerDeal!$C$9/12*0.98</f>
        <v>0</v>
      </c>
      <c r="M6" s="1" t="n">
        <f aca="false">B6*Assumptions!$B$60</f>
        <v>3</v>
      </c>
      <c r="N6" s="1" t="n">
        <f aca="false">IF(A6&gt;Assumptions!$B$67,Assumptions!$B$64*INDEX($B$4:$B$39,A6-Assumptions!$B$67),0)</f>
        <v>0</v>
      </c>
      <c r="O6" s="21" t="n">
        <f aca="false">N6*PerDeal!$B$9*Assumptions!$B$65*(1-Assumptions!$B$66)</f>
        <v>0</v>
      </c>
    </row>
    <row r="7" customFormat="false" ht="15" hidden="false" customHeight="true" outlineLevel="0" collapsed="false">
      <c r="A7" s="1" t="n">
        <v>4</v>
      </c>
      <c r="B7" s="1" t="n">
        <f aca="false">IF(A7&lt;=3,Assumptions!$B$5,IF(A7&lt;=6,Assumptions!$B$6,IF(A7&lt;=9,Assumptions!$B$7,IF(A7&lt;=12,Assumptions!$B$8,Assumptions!$B$9))))</f>
        <v>2</v>
      </c>
      <c r="C7" s="1" t="n">
        <f aca="false">IF(A7&gt;Assumptions!$C$46,(1-Assumptions!$B$64)*Assumptions!$B$46*INDEX($B$4:$B$39,A7-Assumptions!$C$46),0)</f>
        <v>0</v>
      </c>
      <c r="D7" s="1" t="n">
        <f aca="false">IF(A7&gt;Assumptions!$C$47,(1-Assumptions!$B$64)*Assumptions!$B$47*INDEX($B$4:$B$39,A7-Assumptions!$C$47),0)</f>
        <v>0</v>
      </c>
      <c r="E7" s="21" t="n">
        <f aca="false">IF(A7&gt;Assumptions!$C$48,(1-Assumptions!$B$64)*Assumptions!$B$48*INDEX($B$4:$B$39,A7-Assumptions!$C$48),0)</f>
        <v>0</v>
      </c>
      <c r="F7" s="21" t="n">
        <f aca="false">B7*(PerDeal!$B$12-Assumptions!$B$61)+M7*Assumptions!$B$61</f>
        <v>383281.6304836</v>
      </c>
      <c r="G7" s="21" t="n">
        <f aca="false">C7*PerDeal!$B$57+D7*PerDeal!$B$58+E7*PerDeal!$B$59</f>
        <v>0</v>
      </c>
      <c r="H7" s="21" t="n">
        <f aca="false">F7+G7</f>
        <v>383281.6304836</v>
      </c>
      <c r="I7" s="21" t="n">
        <f aca="false">B7*PerDeal!$B$21</f>
        <v>5286344.7130125</v>
      </c>
      <c r="J7" s="1" t="n">
        <f aca="false">SUM($B$4:B7)</f>
        <v>5</v>
      </c>
      <c r="K7" s="1" t="n">
        <f aca="false">IF(A7&gt;Assumptions!$B$53,Assumptions!$B$48*(INDEX($J$4:$J$39,A7-Assumptions!$B$53)-IF(A7&gt;Assumptions!$C$48,INDEX($J$4:$J$39,A7-Assumptions!$C$48),0))+Assumptions!$B$49*INDEX($J$4:$J$39,A7-Assumptions!$B$53),0)</f>
        <v>0</v>
      </c>
      <c r="L7" s="21" t="n">
        <f aca="false">K7*PerDeal!$C$9/12*0.98</f>
        <v>0</v>
      </c>
      <c r="M7" s="1" t="n">
        <f aca="false">B7*Assumptions!$B$60</f>
        <v>6</v>
      </c>
      <c r="N7" s="1" t="n">
        <f aca="false">IF(A7&gt;Assumptions!$B$67,Assumptions!$B$64*INDEX($B$4:$B$39,A7-Assumptions!$B$67),0)</f>
        <v>0</v>
      </c>
      <c r="O7" s="21" t="n">
        <f aca="false">N7*PerDeal!$B$9*Assumptions!$B$65*(1-Assumptions!$B$66)</f>
        <v>0</v>
      </c>
    </row>
    <row r="8" customFormat="false" ht="15" hidden="false" customHeight="true" outlineLevel="0" collapsed="false">
      <c r="A8" s="1" t="n">
        <v>5</v>
      </c>
      <c r="B8" s="1" t="n">
        <f aca="false">IF(A8&lt;=3,Assumptions!$B$5,IF(A8&lt;=6,Assumptions!$B$6,IF(A8&lt;=9,Assumptions!$B$7,IF(A8&lt;=12,Assumptions!$B$8,Assumptions!$B$9))))</f>
        <v>2</v>
      </c>
      <c r="C8" s="1" t="n">
        <f aca="false">IF(A8&gt;Assumptions!$C$46,(1-Assumptions!$B$64)*Assumptions!$B$46*INDEX($B$4:$B$39,A8-Assumptions!$C$46),0)</f>
        <v>0</v>
      </c>
      <c r="D8" s="1" t="n">
        <f aca="false">IF(A8&gt;Assumptions!$C$47,(1-Assumptions!$B$64)*Assumptions!$B$47*INDEX($B$4:$B$39,A8-Assumptions!$C$47),0)</f>
        <v>0</v>
      </c>
      <c r="E8" s="21" t="n">
        <f aca="false">IF(A8&gt;Assumptions!$C$48,(1-Assumptions!$B$64)*Assumptions!$B$48*INDEX($B$4:$B$39,A8-Assumptions!$C$48),0)</f>
        <v>0</v>
      </c>
      <c r="F8" s="21" t="n">
        <f aca="false">B8*(PerDeal!$B$12-Assumptions!$B$61)+M8*Assumptions!$B$61</f>
        <v>383281.6304836</v>
      </c>
      <c r="G8" s="21" t="n">
        <f aca="false">C8*PerDeal!$B$57+D8*PerDeal!$B$58+E8*PerDeal!$B$59</f>
        <v>0</v>
      </c>
      <c r="H8" s="21" t="n">
        <f aca="false">F8+G8</f>
        <v>383281.6304836</v>
      </c>
      <c r="I8" s="21" t="n">
        <f aca="false">B8*PerDeal!$B$21</f>
        <v>5286344.7130125</v>
      </c>
      <c r="J8" s="1" t="n">
        <f aca="false">SUM($B$4:B8)</f>
        <v>7</v>
      </c>
      <c r="K8" s="1" t="n">
        <f aca="false">IF(A8&gt;Assumptions!$B$53,Assumptions!$B$48*(INDEX($J$4:$J$39,A8-Assumptions!$B$53)-IF(A8&gt;Assumptions!$C$48,INDEX($J$4:$J$39,A8-Assumptions!$C$48),0))+Assumptions!$B$49*INDEX($J$4:$J$39,A8-Assumptions!$B$53),0)</f>
        <v>0</v>
      </c>
      <c r="L8" s="21" t="n">
        <f aca="false">K8*PerDeal!$C$9/12*0.98</f>
        <v>0</v>
      </c>
      <c r="M8" s="1" t="n">
        <f aca="false">B8*Assumptions!$B$60</f>
        <v>6</v>
      </c>
      <c r="N8" s="1" t="n">
        <f aca="false">IF(A8&gt;Assumptions!$B$67,Assumptions!$B$64*INDEX($B$4:$B$39,A8-Assumptions!$B$67),0)</f>
        <v>0</v>
      </c>
      <c r="O8" s="21" t="n">
        <f aca="false">N8*PerDeal!$B$9*Assumptions!$B$65*(1-Assumptions!$B$66)</f>
        <v>0</v>
      </c>
    </row>
    <row r="9" customFormat="false" ht="15" hidden="false" customHeight="true" outlineLevel="0" collapsed="false">
      <c r="A9" s="1" t="n">
        <v>6</v>
      </c>
      <c r="B9" s="1" t="n">
        <f aca="false">IF(A9&lt;=3,Assumptions!$B$5,IF(A9&lt;=6,Assumptions!$B$6,IF(A9&lt;=9,Assumptions!$B$7,IF(A9&lt;=12,Assumptions!$B$8,Assumptions!$B$9))))</f>
        <v>2</v>
      </c>
      <c r="C9" s="1" t="n">
        <f aca="false">IF(A9&gt;Assumptions!$C$46,(1-Assumptions!$B$64)*Assumptions!$B$46*INDEX($B$4:$B$39,A9-Assumptions!$C$46),0)</f>
        <v>0</v>
      </c>
      <c r="D9" s="1" t="n">
        <f aca="false">IF(A9&gt;Assumptions!$C$47,(1-Assumptions!$B$64)*Assumptions!$B$47*INDEX($B$4:$B$39,A9-Assumptions!$C$47),0)</f>
        <v>0</v>
      </c>
      <c r="E9" s="21" t="n">
        <f aca="false">IF(A9&gt;Assumptions!$C$48,(1-Assumptions!$B$64)*Assumptions!$B$48*INDEX($B$4:$B$39,A9-Assumptions!$C$48),0)</f>
        <v>0</v>
      </c>
      <c r="F9" s="21" t="n">
        <f aca="false">B9*(PerDeal!$B$12-Assumptions!$B$61)+M9*Assumptions!$B$61</f>
        <v>383281.6304836</v>
      </c>
      <c r="G9" s="21" t="n">
        <f aca="false">C9*PerDeal!$B$57+D9*PerDeal!$B$58+E9*PerDeal!$B$59</f>
        <v>0</v>
      </c>
      <c r="H9" s="21" t="n">
        <f aca="false">F9+G9</f>
        <v>383281.6304836</v>
      </c>
      <c r="I9" s="21" t="n">
        <f aca="false">B9*PerDeal!$B$21</f>
        <v>5286344.7130125</v>
      </c>
      <c r="J9" s="1" t="n">
        <f aca="false">SUM($B$4:B9)</f>
        <v>9</v>
      </c>
      <c r="K9" s="1" t="n">
        <f aca="false">IF(A9&gt;Assumptions!$B$53,Assumptions!$B$48*(INDEX($J$4:$J$39,A9-Assumptions!$B$53)-IF(A9&gt;Assumptions!$C$48,INDEX($J$4:$J$39,A9-Assumptions!$C$48),0))+Assumptions!$B$49*INDEX($J$4:$J$39,A9-Assumptions!$B$53),0)</f>
        <v>0</v>
      </c>
      <c r="L9" s="21" t="n">
        <f aca="false">K9*PerDeal!$C$9/12*0.98</f>
        <v>0</v>
      </c>
      <c r="M9" s="1" t="n">
        <f aca="false">B9*Assumptions!$B$60</f>
        <v>6</v>
      </c>
      <c r="N9" s="1" t="n">
        <f aca="false">IF(A9&gt;Assumptions!$B$67,Assumptions!$B$64*INDEX($B$4:$B$39,A9-Assumptions!$B$67),0)</f>
        <v>0</v>
      </c>
      <c r="O9" s="21" t="n">
        <f aca="false">N9*PerDeal!$B$9*Assumptions!$B$65*(1-Assumptions!$B$66)</f>
        <v>0</v>
      </c>
    </row>
    <row r="10" customFormat="false" ht="15" hidden="false" customHeight="true" outlineLevel="0" collapsed="false">
      <c r="A10" s="1" t="n">
        <v>7</v>
      </c>
      <c r="B10" s="1" t="n">
        <f aca="false">IF(A10&lt;=3,Assumptions!$B$5,IF(A10&lt;=6,Assumptions!$B$6,IF(A10&lt;=9,Assumptions!$B$7,IF(A10&lt;=12,Assumptions!$B$8,Assumptions!$B$9))))</f>
        <v>4</v>
      </c>
      <c r="C10" s="1" t="n">
        <f aca="false">IF(A10&gt;Assumptions!$C$46,(1-Assumptions!$B$64)*Assumptions!$B$46*INDEX($B$4:$B$39,A10-Assumptions!$C$46),0)</f>
        <v>0</v>
      </c>
      <c r="D10" s="1" t="n">
        <f aca="false">IF(A10&gt;Assumptions!$C$47,(1-Assumptions!$B$64)*Assumptions!$B$47*INDEX($B$4:$B$39,A10-Assumptions!$C$47),0)</f>
        <v>0</v>
      </c>
      <c r="E10" s="21" t="n">
        <f aca="false">IF(A10&gt;Assumptions!$C$48,(1-Assumptions!$B$64)*Assumptions!$B$48*INDEX($B$4:$B$39,A10-Assumptions!$C$48),0)</f>
        <v>0</v>
      </c>
      <c r="F10" s="21" t="n">
        <f aca="false">B10*(PerDeal!$B$12-Assumptions!$B$61)+M10*Assumptions!$B$61</f>
        <v>766563.2609672</v>
      </c>
      <c r="G10" s="21" t="n">
        <f aca="false">C10*PerDeal!$B$57+D10*PerDeal!$B$58+E10*PerDeal!$B$59</f>
        <v>0</v>
      </c>
      <c r="H10" s="21" t="n">
        <f aca="false">F10+G10</f>
        <v>766563.2609672</v>
      </c>
      <c r="I10" s="21" t="n">
        <f aca="false">B10*PerDeal!$B$21</f>
        <v>10572689.426025</v>
      </c>
      <c r="J10" s="1" t="n">
        <f aca="false">SUM($B$4:B10)</f>
        <v>13</v>
      </c>
      <c r="K10" s="1" t="n">
        <f aca="false">IF(A10&gt;Assumptions!$B$53,Assumptions!$B$48*(INDEX($J$4:$J$39,A10-Assumptions!$B$53)-IF(A10&gt;Assumptions!$C$48,INDEX($J$4:$J$39,A10-Assumptions!$C$48),0))+Assumptions!$B$49*INDEX($J$4:$J$39,A10-Assumptions!$B$53),0)</f>
        <v>0</v>
      </c>
      <c r="L10" s="21" t="n">
        <f aca="false">K10*PerDeal!$C$9/12*0.98</f>
        <v>0</v>
      </c>
      <c r="M10" s="1" t="n">
        <f aca="false">B10*Assumptions!$B$60</f>
        <v>12</v>
      </c>
      <c r="N10" s="1" t="n">
        <f aca="false">IF(A10&gt;Assumptions!$B$67,Assumptions!$B$64*INDEX($B$4:$B$39,A10-Assumptions!$B$67),0)</f>
        <v>0</v>
      </c>
      <c r="O10" s="21" t="n">
        <f aca="false">N10*PerDeal!$B$9*Assumptions!$B$65*(1-Assumptions!$B$66)</f>
        <v>0</v>
      </c>
    </row>
    <row r="11" customFormat="false" ht="15" hidden="false" customHeight="true" outlineLevel="0" collapsed="false">
      <c r="A11" s="1" t="n">
        <v>8</v>
      </c>
      <c r="B11" s="1" t="n">
        <f aca="false">IF(A11&lt;=3,Assumptions!$B$5,IF(A11&lt;=6,Assumptions!$B$6,IF(A11&lt;=9,Assumptions!$B$7,IF(A11&lt;=12,Assumptions!$B$8,Assumptions!$B$9))))</f>
        <v>4</v>
      </c>
      <c r="C11" s="1" t="n">
        <f aca="false">IF(A11&gt;Assumptions!$C$46,(1-Assumptions!$B$64)*Assumptions!$B$46*INDEX($B$4:$B$39,A11-Assumptions!$C$46),0)</f>
        <v>0</v>
      </c>
      <c r="D11" s="1" t="n">
        <f aca="false">IF(A11&gt;Assumptions!$C$47,(1-Assumptions!$B$64)*Assumptions!$B$47*INDEX($B$4:$B$39,A11-Assumptions!$C$47),0)</f>
        <v>0</v>
      </c>
      <c r="E11" s="21" t="n">
        <f aca="false">IF(A11&gt;Assumptions!$C$48,(1-Assumptions!$B$64)*Assumptions!$B$48*INDEX($B$4:$B$39,A11-Assumptions!$C$48),0)</f>
        <v>0</v>
      </c>
      <c r="F11" s="21" t="n">
        <f aca="false">B11*(PerDeal!$B$12-Assumptions!$B$61)+M11*Assumptions!$B$61</f>
        <v>766563.2609672</v>
      </c>
      <c r="G11" s="21" t="n">
        <f aca="false">C11*PerDeal!$B$57+D11*PerDeal!$B$58+E11*PerDeal!$B$59</f>
        <v>0</v>
      </c>
      <c r="H11" s="21" t="n">
        <f aca="false">F11+G11</f>
        <v>766563.2609672</v>
      </c>
      <c r="I11" s="21" t="n">
        <f aca="false">B11*PerDeal!$B$21</f>
        <v>10572689.426025</v>
      </c>
      <c r="J11" s="1" t="n">
        <f aca="false">SUM($B$4:B11)</f>
        <v>17</v>
      </c>
      <c r="K11" s="1" t="n">
        <f aca="false">IF(A11&gt;Assumptions!$B$53,Assumptions!$B$48*(INDEX($J$4:$J$39,A11-Assumptions!$B$53)-IF(A11&gt;Assumptions!$C$48,INDEX($J$4:$J$39,A11-Assumptions!$C$48),0))+Assumptions!$B$49*INDEX($J$4:$J$39,A11-Assumptions!$B$53),0)</f>
        <v>0</v>
      </c>
      <c r="L11" s="21" t="n">
        <f aca="false">K11*PerDeal!$C$9/12*0.98</f>
        <v>0</v>
      </c>
      <c r="M11" s="1" t="n">
        <f aca="false">B11*Assumptions!$B$60</f>
        <v>12</v>
      </c>
      <c r="N11" s="1" t="n">
        <f aca="false">IF(A11&gt;Assumptions!$B$67,Assumptions!$B$64*INDEX($B$4:$B$39,A11-Assumptions!$B$67),0)</f>
        <v>0</v>
      </c>
      <c r="O11" s="21" t="n">
        <f aca="false">N11*PerDeal!$B$9*Assumptions!$B$65*(1-Assumptions!$B$66)</f>
        <v>0</v>
      </c>
    </row>
    <row r="12" customFormat="false" ht="15" hidden="false" customHeight="true" outlineLevel="0" collapsed="false">
      <c r="A12" s="1" t="n">
        <v>9</v>
      </c>
      <c r="B12" s="1" t="n">
        <f aca="false">IF(A12&lt;=3,Assumptions!$B$5,IF(A12&lt;=6,Assumptions!$B$6,IF(A12&lt;=9,Assumptions!$B$7,IF(A12&lt;=12,Assumptions!$B$8,Assumptions!$B$9))))</f>
        <v>4</v>
      </c>
      <c r="C12" s="1" t="n">
        <f aca="false">IF(A12&gt;Assumptions!$C$46,(1-Assumptions!$B$64)*Assumptions!$B$46*INDEX($B$4:$B$39,A12-Assumptions!$C$46),0)</f>
        <v>0</v>
      </c>
      <c r="D12" s="1" t="n">
        <f aca="false">IF(A12&gt;Assumptions!$C$47,(1-Assumptions!$B$64)*Assumptions!$B$47*INDEX($B$4:$B$39,A12-Assumptions!$C$47),0)</f>
        <v>0</v>
      </c>
      <c r="E12" s="21" t="n">
        <f aca="false">IF(A12&gt;Assumptions!$C$48,(1-Assumptions!$B$64)*Assumptions!$B$48*INDEX($B$4:$B$39,A12-Assumptions!$C$48),0)</f>
        <v>0</v>
      </c>
      <c r="F12" s="21" t="n">
        <f aca="false">B12*(PerDeal!$B$12-Assumptions!$B$61)+M12*Assumptions!$B$61</f>
        <v>766563.2609672</v>
      </c>
      <c r="G12" s="21" t="n">
        <f aca="false">C12*PerDeal!$B$57+D12*PerDeal!$B$58+E12*PerDeal!$B$59</f>
        <v>0</v>
      </c>
      <c r="H12" s="21" t="n">
        <f aca="false">F12+G12</f>
        <v>766563.2609672</v>
      </c>
      <c r="I12" s="21" t="n">
        <f aca="false">B12*PerDeal!$B$21</f>
        <v>10572689.426025</v>
      </c>
      <c r="J12" s="1" t="n">
        <f aca="false">SUM($B$4:B12)</f>
        <v>21</v>
      </c>
      <c r="K12" s="1" t="n">
        <f aca="false">IF(A12&gt;Assumptions!$B$53,Assumptions!$B$48*(INDEX($J$4:$J$39,A12-Assumptions!$B$53)-IF(A12&gt;Assumptions!$C$48,INDEX($J$4:$J$39,A12-Assumptions!$C$48),0))+Assumptions!$B$49*INDEX($J$4:$J$39,A12-Assumptions!$B$53),0)</f>
        <v>0</v>
      </c>
      <c r="L12" s="21" t="n">
        <f aca="false">K12*PerDeal!$C$9/12*0.98</f>
        <v>0</v>
      </c>
      <c r="M12" s="1" t="n">
        <f aca="false">B12*Assumptions!$B$60</f>
        <v>12</v>
      </c>
      <c r="N12" s="1" t="n">
        <f aca="false">IF(A12&gt;Assumptions!$B$67,Assumptions!$B$64*INDEX($B$4:$B$39,A12-Assumptions!$B$67),0)</f>
        <v>0.2</v>
      </c>
      <c r="O12" s="21" t="n">
        <f aca="false">N12*PerDeal!$B$9*Assumptions!$B$65*(1-Assumptions!$B$66)</f>
        <v>51671.542041</v>
      </c>
    </row>
    <row r="13" customFormat="false" ht="15" hidden="false" customHeight="true" outlineLevel="0" collapsed="false">
      <c r="A13" s="1" t="n">
        <v>10</v>
      </c>
      <c r="B13" s="1" t="n">
        <f aca="false">IF(A13&lt;=3,Assumptions!$B$5,IF(A13&lt;=6,Assumptions!$B$6,IF(A13&lt;=9,Assumptions!$B$7,IF(A13&lt;=12,Assumptions!$B$8,Assumptions!$B$9))))</f>
        <v>8</v>
      </c>
      <c r="C13" s="1" t="n">
        <f aca="false">IF(A13&gt;Assumptions!$C$46,(1-Assumptions!$B$64)*Assumptions!$B$46*INDEX($B$4:$B$39,A13-Assumptions!$C$46),0)</f>
        <v>0.08</v>
      </c>
      <c r="D13" s="1" t="n">
        <f aca="false">IF(A13&gt;Assumptions!$C$47,(1-Assumptions!$B$64)*Assumptions!$B$47*INDEX($B$4:$B$39,A13-Assumptions!$C$47),0)</f>
        <v>0</v>
      </c>
      <c r="E13" s="21" t="n">
        <f aca="false">IF(A13&gt;Assumptions!$C$48,(1-Assumptions!$B$64)*Assumptions!$B$48*INDEX($B$4:$B$39,A13-Assumptions!$C$48),0)</f>
        <v>0</v>
      </c>
      <c r="F13" s="21" t="n">
        <f aca="false">B13*(PerDeal!$B$12-Assumptions!$B$61)+M13*Assumptions!$B$61</f>
        <v>1533126.5219344</v>
      </c>
      <c r="G13" s="21" t="n">
        <f aca="false">C13*PerDeal!$B$57+D13*PerDeal!$B$58+E13*PerDeal!$B$59</f>
        <v>9051.37609228627</v>
      </c>
      <c r="H13" s="21" t="n">
        <f aca="false">F13+G13</f>
        <v>1542177.89802669</v>
      </c>
      <c r="I13" s="21" t="n">
        <f aca="false">B13*PerDeal!$B$21</f>
        <v>21145378.85205</v>
      </c>
      <c r="J13" s="1" t="n">
        <f aca="false">SUM($B$4:B13)</f>
        <v>29</v>
      </c>
      <c r="K13" s="1" t="n">
        <f aca="false">IF(A13&gt;Assumptions!$B$53,Assumptions!$B$48*(INDEX($J$4:$J$39,A13-Assumptions!$B$53)-IF(A13&gt;Assumptions!$C$48,INDEX($J$4:$J$39,A13-Assumptions!$C$48),0))+Assumptions!$B$49*INDEX($J$4:$J$39,A13-Assumptions!$B$53),0)</f>
        <v>0</v>
      </c>
      <c r="L13" s="21" t="n">
        <f aca="false">K13*PerDeal!$C$9/12*0.98</f>
        <v>0</v>
      </c>
      <c r="M13" s="1" t="n">
        <f aca="false">B13*Assumptions!$B$60</f>
        <v>24</v>
      </c>
      <c r="N13" s="1" t="n">
        <f aca="false">IF(A13&gt;Assumptions!$B$67,Assumptions!$B$64*INDEX($B$4:$B$39,A13-Assumptions!$B$67),0)</f>
        <v>0.2</v>
      </c>
      <c r="O13" s="21" t="n">
        <f aca="false">N13*PerDeal!$B$9*Assumptions!$B$65*(1-Assumptions!$B$66)</f>
        <v>51671.542041</v>
      </c>
    </row>
    <row r="14" customFormat="false" ht="15" hidden="false" customHeight="true" outlineLevel="0" collapsed="false">
      <c r="A14" s="1" t="n">
        <v>11</v>
      </c>
      <c r="B14" s="1" t="n">
        <f aca="false">IF(A14&lt;=3,Assumptions!$B$5,IF(A14&lt;=6,Assumptions!$B$6,IF(A14&lt;=9,Assumptions!$B$7,IF(A14&lt;=12,Assumptions!$B$8,Assumptions!$B$9))))</f>
        <v>8</v>
      </c>
      <c r="C14" s="1" t="n">
        <f aca="false">IF(A14&gt;Assumptions!$C$46,(1-Assumptions!$B$64)*Assumptions!$B$46*INDEX($B$4:$B$39,A14-Assumptions!$C$46),0)</f>
        <v>0.08</v>
      </c>
      <c r="D14" s="1" t="n">
        <f aca="false">IF(A14&gt;Assumptions!$C$47,(1-Assumptions!$B$64)*Assumptions!$B$47*INDEX($B$4:$B$39,A14-Assumptions!$C$47),0)</f>
        <v>0</v>
      </c>
      <c r="E14" s="21" t="n">
        <f aca="false">IF(A14&gt;Assumptions!$C$48,(1-Assumptions!$B$64)*Assumptions!$B$48*INDEX($B$4:$B$39,A14-Assumptions!$C$48),0)</f>
        <v>0</v>
      </c>
      <c r="F14" s="21" t="n">
        <f aca="false">B14*(PerDeal!$B$12-Assumptions!$B$61)+M14*Assumptions!$B$61</f>
        <v>1533126.5219344</v>
      </c>
      <c r="G14" s="21" t="n">
        <f aca="false">C14*PerDeal!$B$57+D14*PerDeal!$B$58+E14*PerDeal!$B$59</f>
        <v>9051.37609228627</v>
      </c>
      <c r="H14" s="21" t="n">
        <f aca="false">F14+G14</f>
        <v>1542177.89802669</v>
      </c>
      <c r="I14" s="21" t="n">
        <f aca="false">B14*PerDeal!$B$21</f>
        <v>21145378.85205</v>
      </c>
      <c r="J14" s="1" t="n">
        <f aca="false">SUM($B$4:B14)</f>
        <v>37</v>
      </c>
      <c r="K14" s="1" t="n">
        <f aca="false">IF(A14&gt;Assumptions!$B$53,Assumptions!$B$48*(INDEX($J$4:$J$39,A14-Assumptions!$B$53)-IF(A14&gt;Assumptions!$C$48,INDEX($J$4:$J$39,A14-Assumptions!$C$48),0))+Assumptions!$B$49*INDEX($J$4:$J$39,A14-Assumptions!$B$53),0)</f>
        <v>0</v>
      </c>
      <c r="L14" s="21" t="n">
        <f aca="false">K14*PerDeal!$C$9/12*0.98</f>
        <v>0</v>
      </c>
      <c r="M14" s="1" t="n">
        <f aca="false">B14*Assumptions!$B$60</f>
        <v>24</v>
      </c>
      <c r="N14" s="1" t="n">
        <f aca="false">IF(A14&gt;Assumptions!$B$67,Assumptions!$B$64*INDEX($B$4:$B$39,A14-Assumptions!$B$67),0)</f>
        <v>0.2</v>
      </c>
      <c r="O14" s="21" t="n">
        <f aca="false">N14*PerDeal!$B$9*Assumptions!$B$65*(1-Assumptions!$B$66)</f>
        <v>51671.542041</v>
      </c>
    </row>
    <row r="15" customFormat="false" ht="15" hidden="false" customHeight="true" outlineLevel="0" collapsed="false">
      <c r="A15" s="1" t="n">
        <v>12</v>
      </c>
      <c r="B15" s="1" t="n">
        <f aca="false">IF(A15&lt;=3,Assumptions!$B$5,IF(A15&lt;=6,Assumptions!$B$6,IF(A15&lt;=9,Assumptions!$B$7,IF(A15&lt;=12,Assumptions!$B$8,Assumptions!$B$9))))</f>
        <v>8</v>
      </c>
      <c r="C15" s="1" t="n">
        <f aca="false">IF(A15&gt;Assumptions!$C$46,(1-Assumptions!$B$64)*Assumptions!$B$46*INDEX($B$4:$B$39,A15-Assumptions!$C$46),0)</f>
        <v>0.08</v>
      </c>
      <c r="D15" s="1" t="n">
        <f aca="false">IF(A15&gt;Assumptions!$C$47,(1-Assumptions!$B$64)*Assumptions!$B$47*INDEX($B$4:$B$39,A15-Assumptions!$C$47),0)</f>
        <v>0</v>
      </c>
      <c r="E15" s="21" t="n">
        <f aca="false">IF(A15&gt;Assumptions!$C$48,(1-Assumptions!$B$64)*Assumptions!$B$48*INDEX($B$4:$B$39,A15-Assumptions!$C$48),0)</f>
        <v>0</v>
      </c>
      <c r="F15" s="21" t="n">
        <f aca="false">B15*(PerDeal!$B$12-Assumptions!$B$61)+M15*Assumptions!$B$61</f>
        <v>1533126.5219344</v>
      </c>
      <c r="G15" s="21" t="n">
        <f aca="false">C15*PerDeal!$B$57+D15*PerDeal!$B$58+E15*PerDeal!$B$59</f>
        <v>9051.37609228627</v>
      </c>
      <c r="H15" s="21" t="n">
        <f aca="false">F15+G15</f>
        <v>1542177.89802669</v>
      </c>
      <c r="I15" s="21" t="n">
        <f aca="false">B15*PerDeal!$B$21</f>
        <v>21145378.85205</v>
      </c>
      <c r="J15" s="1" t="n">
        <f aca="false">SUM($B$4:B15)</f>
        <v>45</v>
      </c>
      <c r="K15" s="1" t="n">
        <f aca="false">IF(A15&gt;Assumptions!$B$53,Assumptions!$B$48*(INDEX($J$4:$J$39,A15-Assumptions!$B$53)-IF(A15&gt;Assumptions!$C$48,INDEX($J$4:$J$39,A15-Assumptions!$C$48),0))+Assumptions!$B$49*INDEX($J$4:$J$39,A15-Assumptions!$B$53),0)</f>
        <v>0</v>
      </c>
      <c r="L15" s="21" t="n">
        <f aca="false">K15*PerDeal!$C$9/12*0.98</f>
        <v>0</v>
      </c>
      <c r="M15" s="1" t="n">
        <f aca="false">B15*Assumptions!$B$60</f>
        <v>24</v>
      </c>
      <c r="N15" s="1" t="n">
        <f aca="false">IF(A15&gt;Assumptions!$B$67,Assumptions!$B$64*INDEX($B$4:$B$39,A15-Assumptions!$B$67),0)</f>
        <v>0.4</v>
      </c>
      <c r="O15" s="21" t="n">
        <f aca="false">N15*PerDeal!$B$9*Assumptions!$B$65*(1-Assumptions!$B$66)</f>
        <v>103343.084082</v>
      </c>
    </row>
    <row r="16" customFormat="false" ht="15" hidden="false" customHeight="true" outlineLevel="0" collapsed="false">
      <c r="A16" s="1" t="n">
        <v>13</v>
      </c>
      <c r="B16" s="1" t="n">
        <f aca="false">IF(A16&lt;=3,Assumptions!$B$5,IF(A16&lt;=6,Assumptions!$B$6,IF(A16&lt;=9,Assumptions!$B$7,IF(A16&lt;=12,Assumptions!$B$8,Assumptions!$B$9))))</f>
        <v>8</v>
      </c>
      <c r="C16" s="1" t="n">
        <f aca="false">IF(A16&gt;Assumptions!$C$46,(1-Assumptions!$B$64)*Assumptions!$B$46*INDEX($B$4:$B$39,A16-Assumptions!$C$46),0)</f>
        <v>0.16</v>
      </c>
      <c r="D16" s="1" t="n">
        <f aca="false">IF(A16&gt;Assumptions!$C$47,(1-Assumptions!$B$64)*Assumptions!$B$47*INDEX($B$4:$B$39,A16-Assumptions!$C$47),0)</f>
        <v>0</v>
      </c>
      <c r="E16" s="21" t="n">
        <f aca="false">IF(A16&gt;Assumptions!$C$48,(1-Assumptions!$B$64)*Assumptions!$B$48*INDEX($B$4:$B$39,A16-Assumptions!$C$48),0)</f>
        <v>0</v>
      </c>
      <c r="F16" s="21" t="n">
        <f aca="false">B16*(PerDeal!$B$12-Assumptions!$B$61)+M16*Assumptions!$B$61</f>
        <v>1533126.5219344</v>
      </c>
      <c r="G16" s="21" t="n">
        <f aca="false">C16*PerDeal!$B$57+D16*PerDeal!$B$58+E16*PerDeal!$B$59</f>
        <v>18102.7521845725</v>
      </c>
      <c r="H16" s="21" t="n">
        <f aca="false">F16+G16</f>
        <v>1551229.27411897</v>
      </c>
      <c r="I16" s="21" t="n">
        <f aca="false">B16*PerDeal!$B$21</f>
        <v>21145378.85205</v>
      </c>
      <c r="J16" s="1" t="n">
        <f aca="false">SUM($B$4:B16)</f>
        <v>53</v>
      </c>
      <c r="K16" s="1" t="n">
        <f aca="false">IF(A16&gt;Assumptions!$B$53,Assumptions!$B$48*(INDEX($J$4:$J$39,A16-Assumptions!$B$53)-IF(A16&gt;Assumptions!$C$48,INDEX($J$4:$J$39,A16-Assumptions!$C$48),0))+Assumptions!$B$49*INDEX($J$4:$J$39,A16-Assumptions!$B$53),0)</f>
        <v>0</v>
      </c>
      <c r="L16" s="21" t="n">
        <f aca="false">K16*PerDeal!$C$9/12*0.98</f>
        <v>0</v>
      </c>
      <c r="M16" s="1" t="n">
        <f aca="false">B16*Assumptions!$B$60</f>
        <v>24</v>
      </c>
      <c r="N16" s="1" t="n">
        <f aca="false">IF(A16&gt;Assumptions!$B$67,Assumptions!$B$64*INDEX($B$4:$B$39,A16-Assumptions!$B$67),0)</f>
        <v>0.4</v>
      </c>
      <c r="O16" s="21" t="n">
        <f aca="false">N16*PerDeal!$B$9*Assumptions!$B$65*(1-Assumptions!$B$66)</f>
        <v>103343.084082</v>
      </c>
    </row>
    <row r="17" customFormat="false" ht="15" hidden="false" customHeight="true" outlineLevel="0" collapsed="false">
      <c r="A17" s="1" t="n">
        <v>14</v>
      </c>
      <c r="B17" s="1" t="n">
        <f aca="false">IF(A17&lt;=3,Assumptions!$B$5,IF(A17&lt;=6,Assumptions!$B$6,IF(A17&lt;=9,Assumptions!$B$7,IF(A17&lt;=12,Assumptions!$B$8,Assumptions!$B$9))))</f>
        <v>8</v>
      </c>
      <c r="C17" s="1" t="n">
        <f aca="false">IF(A17&gt;Assumptions!$C$46,(1-Assumptions!$B$64)*Assumptions!$B$46*INDEX($B$4:$B$39,A17-Assumptions!$C$46),0)</f>
        <v>0.16</v>
      </c>
      <c r="D17" s="1" t="n">
        <f aca="false">IF(A17&gt;Assumptions!$C$47,(1-Assumptions!$B$64)*Assumptions!$B$47*INDEX($B$4:$B$39,A17-Assumptions!$C$47),0)</f>
        <v>0</v>
      </c>
      <c r="E17" s="21" t="n">
        <f aca="false">IF(A17&gt;Assumptions!$C$48,(1-Assumptions!$B$64)*Assumptions!$B$48*INDEX($B$4:$B$39,A17-Assumptions!$C$48),0)</f>
        <v>0</v>
      </c>
      <c r="F17" s="21" t="n">
        <f aca="false">B17*(PerDeal!$B$12-Assumptions!$B$61)+M17*Assumptions!$B$61</f>
        <v>1533126.5219344</v>
      </c>
      <c r="G17" s="21" t="n">
        <f aca="false">C17*PerDeal!$B$57+D17*PerDeal!$B$58+E17*PerDeal!$B$59</f>
        <v>18102.7521845725</v>
      </c>
      <c r="H17" s="21" t="n">
        <f aca="false">F17+G17</f>
        <v>1551229.27411897</v>
      </c>
      <c r="I17" s="21" t="n">
        <f aca="false">B17*PerDeal!$B$21</f>
        <v>21145378.85205</v>
      </c>
      <c r="J17" s="1" t="n">
        <f aca="false">SUM($B$4:B17)</f>
        <v>61</v>
      </c>
      <c r="K17" s="1" t="n">
        <f aca="false">IF(A17&gt;Assumptions!$B$53,Assumptions!$B$48*(INDEX($J$4:$J$39,A17-Assumptions!$B$53)-IF(A17&gt;Assumptions!$C$48,INDEX($J$4:$J$39,A17-Assumptions!$C$48),0))+Assumptions!$B$49*INDEX($J$4:$J$39,A17-Assumptions!$B$53),0)</f>
        <v>0</v>
      </c>
      <c r="L17" s="21" t="n">
        <f aca="false">K17*PerDeal!$C$9/12*0.98</f>
        <v>0</v>
      </c>
      <c r="M17" s="1" t="n">
        <f aca="false">B17*Assumptions!$B$60</f>
        <v>24</v>
      </c>
      <c r="N17" s="1" t="n">
        <f aca="false">IF(A17&gt;Assumptions!$B$67,Assumptions!$B$64*INDEX($B$4:$B$39,A17-Assumptions!$B$67),0)</f>
        <v>0.4</v>
      </c>
      <c r="O17" s="21" t="n">
        <f aca="false">N17*PerDeal!$B$9*Assumptions!$B$65*(1-Assumptions!$B$66)</f>
        <v>103343.084082</v>
      </c>
    </row>
    <row r="18" customFormat="false" ht="15" hidden="false" customHeight="true" outlineLevel="0" collapsed="false">
      <c r="A18" s="1" t="n">
        <v>15</v>
      </c>
      <c r="B18" s="1" t="n">
        <f aca="false">IF(A18&lt;=3,Assumptions!$B$5,IF(A18&lt;=6,Assumptions!$B$6,IF(A18&lt;=9,Assumptions!$B$7,IF(A18&lt;=12,Assumptions!$B$8,Assumptions!$B$9))))</f>
        <v>8</v>
      </c>
      <c r="C18" s="1" t="n">
        <f aca="false">IF(A18&gt;Assumptions!$C$46,(1-Assumptions!$B$64)*Assumptions!$B$46*INDEX($B$4:$B$39,A18-Assumptions!$C$46),0)</f>
        <v>0.16</v>
      </c>
      <c r="D18" s="1" t="n">
        <f aca="false">IF(A18&gt;Assumptions!$C$47,(1-Assumptions!$B$64)*Assumptions!$B$47*INDEX($B$4:$B$39,A18-Assumptions!$C$47),0)</f>
        <v>0</v>
      </c>
      <c r="E18" s="21" t="n">
        <f aca="false">IF(A18&gt;Assumptions!$C$48,(1-Assumptions!$B$64)*Assumptions!$B$48*INDEX($B$4:$B$39,A18-Assumptions!$C$48),0)</f>
        <v>0</v>
      </c>
      <c r="F18" s="21" t="n">
        <f aca="false">B18*(PerDeal!$B$12-Assumptions!$B$61)+M18*Assumptions!$B$61</f>
        <v>1533126.5219344</v>
      </c>
      <c r="G18" s="21" t="n">
        <f aca="false">C18*PerDeal!$B$57+D18*PerDeal!$B$58+E18*PerDeal!$B$59</f>
        <v>18102.7521845725</v>
      </c>
      <c r="H18" s="21" t="n">
        <f aca="false">F18+G18</f>
        <v>1551229.27411897</v>
      </c>
      <c r="I18" s="21" t="n">
        <f aca="false">B18*PerDeal!$B$21</f>
        <v>21145378.85205</v>
      </c>
      <c r="J18" s="1" t="n">
        <f aca="false">SUM($B$4:B18)</f>
        <v>69</v>
      </c>
      <c r="K18" s="1" t="n">
        <f aca="false">IF(A18&gt;Assumptions!$B$53,Assumptions!$B$48*(INDEX($J$4:$J$39,A18-Assumptions!$B$53)-IF(A18&gt;Assumptions!$C$48,INDEX($J$4:$J$39,A18-Assumptions!$C$48),0))+Assumptions!$B$49*INDEX($J$4:$J$39,A18-Assumptions!$B$53),0)</f>
        <v>0</v>
      </c>
      <c r="L18" s="21" t="n">
        <f aca="false">K18*PerDeal!$C$9/12*0.98</f>
        <v>0</v>
      </c>
      <c r="M18" s="1" t="n">
        <f aca="false">B18*Assumptions!$B$60</f>
        <v>24</v>
      </c>
      <c r="N18" s="1" t="n">
        <f aca="false">IF(A18&gt;Assumptions!$B$67,Assumptions!$B$64*INDEX($B$4:$B$39,A18-Assumptions!$B$67),0)</f>
        <v>0.8</v>
      </c>
      <c r="O18" s="21" t="n">
        <f aca="false">N18*PerDeal!$B$9*Assumptions!$B$65*(1-Assumptions!$B$66)</f>
        <v>206686.168164</v>
      </c>
    </row>
    <row r="19" customFormat="false" ht="15" hidden="false" customHeight="true" outlineLevel="0" collapsed="false">
      <c r="A19" s="1" t="n">
        <v>16</v>
      </c>
      <c r="B19" s="1" t="n">
        <f aca="false">IF(A19&lt;=3,Assumptions!$B$5,IF(A19&lt;=6,Assumptions!$B$6,IF(A19&lt;=9,Assumptions!$B$7,IF(A19&lt;=12,Assumptions!$B$8,Assumptions!$B$9))))</f>
        <v>8</v>
      </c>
      <c r="C19" s="1" t="n">
        <f aca="false">IF(A19&gt;Assumptions!$C$46,(1-Assumptions!$B$64)*Assumptions!$B$46*INDEX($B$4:$B$39,A19-Assumptions!$C$46),0)</f>
        <v>0.32</v>
      </c>
      <c r="D19" s="1" t="n">
        <f aca="false">IF(A19&gt;Assumptions!$C$47,(1-Assumptions!$B$64)*Assumptions!$B$47*INDEX($B$4:$B$39,A19-Assumptions!$C$47),0)</f>
        <v>0.16</v>
      </c>
      <c r="E19" s="21" t="n">
        <f aca="false">IF(A19&gt;Assumptions!$C$48,(1-Assumptions!$B$64)*Assumptions!$B$48*INDEX($B$4:$B$39,A19-Assumptions!$C$48),0)</f>
        <v>0</v>
      </c>
      <c r="F19" s="21" t="n">
        <f aca="false">B19*(PerDeal!$B$12-Assumptions!$B$61)+M19*Assumptions!$B$61</f>
        <v>1533126.5219344</v>
      </c>
      <c r="G19" s="21" t="n">
        <f aca="false">C19*PerDeal!$B$57+D19*PerDeal!$B$58+E19*PerDeal!$B$59</f>
        <v>63220.3385316839</v>
      </c>
      <c r="H19" s="21" t="n">
        <f aca="false">F19+G19</f>
        <v>1596346.86046608</v>
      </c>
      <c r="I19" s="21" t="n">
        <f aca="false">B19*PerDeal!$B$21</f>
        <v>21145378.85205</v>
      </c>
      <c r="J19" s="1" t="n">
        <f aca="false">SUM($B$4:B19)</f>
        <v>77</v>
      </c>
      <c r="K19" s="1" t="n">
        <f aca="false">IF(A19&gt;Assumptions!$B$53,Assumptions!$B$48*(INDEX($J$4:$J$39,A19-Assumptions!$B$53)-IF(A19&gt;Assumptions!$C$48,INDEX($J$4:$J$39,A19-Assumptions!$C$48),0))+Assumptions!$B$49*INDEX($J$4:$J$39,A19-Assumptions!$B$53),0)</f>
        <v>0.7</v>
      </c>
      <c r="L19" s="21" t="n">
        <f aca="false">K19*PerDeal!$C$9/12*0.98</f>
        <v>20871.7215</v>
      </c>
      <c r="M19" s="1" t="n">
        <f aca="false">B19*Assumptions!$B$60</f>
        <v>24</v>
      </c>
      <c r="N19" s="1" t="n">
        <f aca="false">IF(A19&gt;Assumptions!$B$67,Assumptions!$B$64*INDEX($B$4:$B$39,A19-Assumptions!$B$67),0)</f>
        <v>0.8</v>
      </c>
      <c r="O19" s="21" t="n">
        <f aca="false">N19*PerDeal!$B$9*Assumptions!$B$65*(1-Assumptions!$B$66)</f>
        <v>206686.168164</v>
      </c>
    </row>
    <row r="20" customFormat="false" ht="15" hidden="false" customHeight="true" outlineLevel="0" collapsed="false">
      <c r="A20" s="1" t="n">
        <v>17</v>
      </c>
      <c r="B20" s="1" t="n">
        <f aca="false">IF(A20&lt;=3,Assumptions!$B$5,IF(A20&lt;=6,Assumptions!$B$6,IF(A20&lt;=9,Assumptions!$B$7,IF(A20&lt;=12,Assumptions!$B$8,Assumptions!$B$9))))</f>
        <v>8</v>
      </c>
      <c r="C20" s="1" t="n">
        <f aca="false">IF(A20&gt;Assumptions!$C$46,(1-Assumptions!$B$64)*Assumptions!$B$46*INDEX($B$4:$B$39,A20-Assumptions!$C$46),0)</f>
        <v>0.32</v>
      </c>
      <c r="D20" s="1" t="n">
        <f aca="false">IF(A20&gt;Assumptions!$C$47,(1-Assumptions!$B$64)*Assumptions!$B$47*INDEX($B$4:$B$39,A20-Assumptions!$C$47),0)</f>
        <v>0.16</v>
      </c>
      <c r="E20" s="21" t="n">
        <f aca="false">IF(A20&gt;Assumptions!$C$48,(1-Assumptions!$B$64)*Assumptions!$B$48*INDEX($B$4:$B$39,A20-Assumptions!$C$48),0)</f>
        <v>0</v>
      </c>
      <c r="F20" s="21" t="n">
        <f aca="false">B20*(PerDeal!$B$12-Assumptions!$B$61)+M20*Assumptions!$B$61</f>
        <v>1533126.5219344</v>
      </c>
      <c r="G20" s="21" t="n">
        <f aca="false">C20*PerDeal!$B$57+D20*PerDeal!$B$58+E20*PerDeal!$B$59</f>
        <v>63220.3385316839</v>
      </c>
      <c r="H20" s="21" t="n">
        <f aca="false">F20+G20</f>
        <v>1596346.86046608</v>
      </c>
      <c r="I20" s="21" t="n">
        <f aca="false">B20*PerDeal!$B$21</f>
        <v>21145378.85205</v>
      </c>
      <c r="J20" s="1" t="n">
        <f aca="false">SUM($B$4:B20)</f>
        <v>85</v>
      </c>
      <c r="K20" s="1" t="n">
        <f aca="false">IF(A20&gt;Assumptions!$B$53,Assumptions!$B$48*(INDEX($J$4:$J$39,A20-Assumptions!$B$53)-IF(A20&gt;Assumptions!$C$48,INDEX($J$4:$J$39,A20-Assumptions!$C$48),0))+Assumptions!$B$49*INDEX($J$4:$J$39,A20-Assumptions!$B$53),0)</f>
        <v>1.4</v>
      </c>
      <c r="L20" s="21" t="n">
        <f aca="false">K20*PerDeal!$C$9/12*0.98</f>
        <v>41743.443</v>
      </c>
      <c r="M20" s="1" t="n">
        <f aca="false">B20*Assumptions!$B$60</f>
        <v>24</v>
      </c>
      <c r="N20" s="1" t="n">
        <f aca="false">IF(A20&gt;Assumptions!$B$67,Assumptions!$B$64*INDEX($B$4:$B$39,A20-Assumptions!$B$67),0)</f>
        <v>0.8</v>
      </c>
      <c r="O20" s="21" t="n">
        <f aca="false">N20*PerDeal!$B$9*Assumptions!$B$65*(1-Assumptions!$B$66)</f>
        <v>206686.168164</v>
      </c>
    </row>
    <row r="21" customFormat="false" ht="15" hidden="false" customHeight="true" outlineLevel="0" collapsed="false">
      <c r="A21" s="1" t="n">
        <v>18</v>
      </c>
      <c r="B21" s="1" t="n">
        <f aca="false">IF(A21&lt;=3,Assumptions!$B$5,IF(A21&lt;=6,Assumptions!$B$6,IF(A21&lt;=9,Assumptions!$B$7,IF(A21&lt;=12,Assumptions!$B$8,Assumptions!$B$9))))</f>
        <v>8</v>
      </c>
      <c r="C21" s="1" t="n">
        <f aca="false">IF(A21&gt;Assumptions!$C$46,(1-Assumptions!$B$64)*Assumptions!$B$46*INDEX($B$4:$B$39,A21-Assumptions!$C$46),0)</f>
        <v>0.32</v>
      </c>
      <c r="D21" s="1" t="n">
        <f aca="false">IF(A21&gt;Assumptions!$C$47,(1-Assumptions!$B$64)*Assumptions!$B$47*INDEX($B$4:$B$39,A21-Assumptions!$C$47),0)</f>
        <v>0.16</v>
      </c>
      <c r="E21" s="21" t="n">
        <f aca="false">IF(A21&gt;Assumptions!$C$48,(1-Assumptions!$B$64)*Assumptions!$B$48*INDEX($B$4:$B$39,A21-Assumptions!$C$48),0)</f>
        <v>0</v>
      </c>
      <c r="F21" s="21" t="n">
        <f aca="false">B21*(PerDeal!$B$12-Assumptions!$B$61)+M21*Assumptions!$B$61</f>
        <v>1533126.5219344</v>
      </c>
      <c r="G21" s="21" t="n">
        <f aca="false">C21*PerDeal!$B$57+D21*PerDeal!$B$58+E21*PerDeal!$B$59</f>
        <v>63220.3385316839</v>
      </c>
      <c r="H21" s="21" t="n">
        <f aca="false">F21+G21</f>
        <v>1596346.86046608</v>
      </c>
      <c r="I21" s="21" t="n">
        <f aca="false">B21*PerDeal!$B$21</f>
        <v>21145378.85205</v>
      </c>
      <c r="J21" s="1" t="n">
        <f aca="false">SUM($B$4:B21)</f>
        <v>93</v>
      </c>
      <c r="K21" s="1" t="n">
        <f aca="false">IF(A21&gt;Assumptions!$B$53,Assumptions!$B$48*(INDEX($J$4:$J$39,A21-Assumptions!$B$53)-IF(A21&gt;Assumptions!$C$48,INDEX($J$4:$J$39,A21-Assumptions!$C$48),0))+Assumptions!$B$49*INDEX($J$4:$J$39,A21-Assumptions!$B$53),0)</f>
        <v>2.1</v>
      </c>
      <c r="L21" s="21" t="n">
        <f aca="false">K21*PerDeal!$C$9/12*0.98</f>
        <v>62615.1645</v>
      </c>
      <c r="M21" s="1" t="n">
        <f aca="false">B21*Assumptions!$B$60</f>
        <v>24</v>
      </c>
      <c r="N21" s="1" t="n">
        <f aca="false">IF(A21&gt;Assumptions!$B$67,Assumptions!$B$64*INDEX($B$4:$B$39,A21-Assumptions!$B$67),0)</f>
        <v>1.6</v>
      </c>
      <c r="O21" s="21" t="n">
        <f aca="false">N21*PerDeal!$B$9*Assumptions!$B$65*(1-Assumptions!$B$66)</f>
        <v>413372.336328</v>
      </c>
    </row>
    <row r="22" customFormat="false" ht="15" hidden="false" customHeight="true" outlineLevel="0" collapsed="false">
      <c r="A22" s="1" t="n">
        <v>19</v>
      </c>
      <c r="B22" s="1" t="n">
        <f aca="false">IF(A22&lt;=3,Assumptions!$B$5,IF(A22&lt;=6,Assumptions!$B$6,IF(A22&lt;=9,Assumptions!$B$7,IF(A22&lt;=12,Assumptions!$B$8,Assumptions!$B$9))))</f>
        <v>8</v>
      </c>
      <c r="C22" s="1" t="n">
        <f aca="false">IF(A22&gt;Assumptions!$C$46,(1-Assumptions!$B$64)*Assumptions!$B$46*INDEX($B$4:$B$39,A22-Assumptions!$C$46),0)</f>
        <v>0.64</v>
      </c>
      <c r="D22" s="1" t="n">
        <f aca="false">IF(A22&gt;Assumptions!$C$47,(1-Assumptions!$B$64)*Assumptions!$B$47*INDEX($B$4:$B$39,A22-Assumptions!$C$47),0)</f>
        <v>0.32</v>
      </c>
      <c r="E22" s="21" t="n">
        <f aca="false">IF(A22&gt;Assumptions!$C$48,(1-Assumptions!$B$64)*Assumptions!$B$48*INDEX($B$4:$B$39,A22-Assumptions!$C$48),0)</f>
        <v>0</v>
      </c>
      <c r="F22" s="21" t="n">
        <f aca="false">B22*(PerDeal!$B$12-Assumptions!$B$61)+M22*Assumptions!$B$61</f>
        <v>1533126.5219344</v>
      </c>
      <c r="G22" s="21" t="n">
        <f aca="false">C22*PerDeal!$B$57+D22*PerDeal!$B$58+E22*PerDeal!$B$59</f>
        <v>126440.677063368</v>
      </c>
      <c r="H22" s="21" t="n">
        <f aca="false">F22+G22</f>
        <v>1659567.19899777</v>
      </c>
      <c r="I22" s="21" t="n">
        <f aca="false">B22*PerDeal!$B$21</f>
        <v>21145378.85205</v>
      </c>
      <c r="J22" s="1" t="n">
        <f aca="false">SUM($B$4:B22)</f>
        <v>101</v>
      </c>
      <c r="K22" s="1" t="n">
        <f aca="false">IF(A22&gt;Assumptions!$B$53,Assumptions!$B$48*(INDEX($J$4:$J$39,A22-Assumptions!$B$53)-IF(A22&gt;Assumptions!$C$48,INDEX($J$4:$J$39,A22-Assumptions!$C$48),0))+Assumptions!$B$49*INDEX($J$4:$J$39,A22-Assumptions!$B$53),0)</f>
        <v>3.5</v>
      </c>
      <c r="L22" s="21" t="n">
        <f aca="false">K22*PerDeal!$C$9/12*0.98</f>
        <v>104358.6075</v>
      </c>
      <c r="M22" s="1" t="n">
        <f aca="false">B22*Assumptions!$B$60</f>
        <v>24</v>
      </c>
      <c r="N22" s="1" t="n">
        <f aca="false">IF(A22&gt;Assumptions!$B$67,Assumptions!$B$64*INDEX($B$4:$B$39,A22-Assumptions!$B$67),0)</f>
        <v>1.6</v>
      </c>
      <c r="O22" s="21" t="n">
        <f aca="false">N22*PerDeal!$B$9*Assumptions!$B$65*(1-Assumptions!$B$66)</f>
        <v>413372.336328</v>
      </c>
    </row>
    <row r="23" customFormat="false" ht="15" hidden="false" customHeight="true" outlineLevel="0" collapsed="false">
      <c r="A23" s="1" t="n">
        <v>20</v>
      </c>
      <c r="B23" s="1" t="n">
        <f aca="false">IF(A23&lt;=3,Assumptions!$B$5,IF(A23&lt;=6,Assumptions!$B$6,IF(A23&lt;=9,Assumptions!$B$7,IF(A23&lt;=12,Assumptions!$B$8,Assumptions!$B$9))))</f>
        <v>8</v>
      </c>
      <c r="C23" s="1" t="n">
        <f aca="false">IF(A23&gt;Assumptions!$C$46,(1-Assumptions!$B$64)*Assumptions!$B$46*INDEX($B$4:$B$39,A23-Assumptions!$C$46),0)</f>
        <v>0.64</v>
      </c>
      <c r="D23" s="1" t="n">
        <f aca="false">IF(A23&gt;Assumptions!$C$47,(1-Assumptions!$B$64)*Assumptions!$B$47*INDEX($B$4:$B$39,A23-Assumptions!$C$47),0)</f>
        <v>0.32</v>
      </c>
      <c r="E23" s="21" t="n">
        <f aca="false">IF(A23&gt;Assumptions!$C$48,(1-Assumptions!$B$64)*Assumptions!$B$48*INDEX($B$4:$B$39,A23-Assumptions!$C$48),0)</f>
        <v>0</v>
      </c>
      <c r="F23" s="21" t="n">
        <f aca="false">B23*(PerDeal!$B$12-Assumptions!$B$61)+M23*Assumptions!$B$61</f>
        <v>1533126.5219344</v>
      </c>
      <c r="G23" s="21" t="n">
        <f aca="false">C23*PerDeal!$B$57+D23*PerDeal!$B$58+E23*PerDeal!$B$59</f>
        <v>126440.677063368</v>
      </c>
      <c r="H23" s="21" t="n">
        <f aca="false">F23+G23</f>
        <v>1659567.19899777</v>
      </c>
      <c r="I23" s="21" t="n">
        <f aca="false">B23*PerDeal!$B$21</f>
        <v>21145378.85205</v>
      </c>
      <c r="J23" s="1" t="n">
        <f aca="false">SUM($B$4:B23)</f>
        <v>109</v>
      </c>
      <c r="K23" s="1" t="n">
        <f aca="false">IF(A23&gt;Assumptions!$B$53,Assumptions!$B$48*(INDEX($J$4:$J$39,A23-Assumptions!$B$53)-IF(A23&gt;Assumptions!$C$48,INDEX($J$4:$J$39,A23-Assumptions!$C$48),0))+Assumptions!$B$49*INDEX($J$4:$J$39,A23-Assumptions!$B$53),0)</f>
        <v>4.9</v>
      </c>
      <c r="L23" s="21" t="n">
        <f aca="false">K23*PerDeal!$C$9/12*0.98</f>
        <v>146102.0505</v>
      </c>
      <c r="M23" s="1" t="n">
        <f aca="false">B23*Assumptions!$B$60</f>
        <v>24</v>
      </c>
      <c r="N23" s="1" t="n">
        <f aca="false">IF(A23&gt;Assumptions!$B$67,Assumptions!$B$64*INDEX($B$4:$B$39,A23-Assumptions!$B$67),0)</f>
        <v>1.6</v>
      </c>
      <c r="O23" s="21" t="n">
        <f aca="false">N23*PerDeal!$B$9*Assumptions!$B$65*(1-Assumptions!$B$66)</f>
        <v>413372.336328</v>
      </c>
    </row>
    <row r="24" customFormat="false" ht="15" hidden="false" customHeight="true" outlineLevel="0" collapsed="false">
      <c r="A24" s="1" t="n">
        <v>21</v>
      </c>
      <c r="B24" s="1" t="n">
        <f aca="false">IF(A24&lt;=3,Assumptions!$B$5,IF(A24&lt;=6,Assumptions!$B$6,IF(A24&lt;=9,Assumptions!$B$7,IF(A24&lt;=12,Assumptions!$B$8,Assumptions!$B$9))))</f>
        <v>8</v>
      </c>
      <c r="C24" s="1" t="n">
        <f aca="false">IF(A24&gt;Assumptions!$C$46,(1-Assumptions!$B$64)*Assumptions!$B$46*INDEX($B$4:$B$39,A24-Assumptions!$C$46),0)</f>
        <v>0.64</v>
      </c>
      <c r="D24" s="1" t="n">
        <f aca="false">IF(A24&gt;Assumptions!$C$47,(1-Assumptions!$B$64)*Assumptions!$B$47*INDEX($B$4:$B$39,A24-Assumptions!$C$47),0)</f>
        <v>0.32</v>
      </c>
      <c r="E24" s="21" t="n">
        <f aca="false">IF(A24&gt;Assumptions!$C$48,(1-Assumptions!$B$64)*Assumptions!$B$48*INDEX($B$4:$B$39,A24-Assumptions!$C$48),0)</f>
        <v>0</v>
      </c>
      <c r="F24" s="21" t="n">
        <f aca="false">B24*(PerDeal!$B$12-Assumptions!$B$61)+M24*Assumptions!$B$61</f>
        <v>1533126.5219344</v>
      </c>
      <c r="G24" s="21" t="n">
        <f aca="false">C24*PerDeal!$B$57+D24*PerDeal!$B$58+E24*PerDeal!$B$59</f>
        <v>126440.677063368</v>
      </c>
      <c r="H24" s="21" t="n">
        <f aca="false">F24+G24</f>
        <v>1659567.19899777</v>
      </c>
      <c r="I24" s="21" t="n">
        <f aca="false">B24*PerDeal!$B$21</f>
        <v>21145378.85205</v>
      </c>
      <c r="J24" s="1" t="n">
        <f aca="false">SUM($B$4:B24)</f>
        <v>117</v>
      </c>
      <c r="K24" s="1" t="n">
        <f aca="false">IF(A24&gt;Assumptions!$B$53,Assumptions!$B$48*(INDEX($J$4:$J$39,A24-Assumptions!$B$53)-IF(A24&gt;Assumptions!$C$48,INDEX($J$4:$J$39,A24-Assumptions!$C$48),0))+Assumptions!$B$49*INDEX($J$4:$J$39,A24-Assumptions!$B$53),0)</f>
        <v>6.3</v>
      </c>
      <c r="L24" s="21" t="n">
        <f aca="false">K24*PerDeal!$C$9/12*0.98</f>
        <v>187845.4935</v>
      </c>
      <c r="M24" s="1" t="n">
        <f aca="false">B24*Assumptions!$B$60</f>
        <v>24</v>
      </c>
      <c r="N24" s="1" t="n">
        <f aca="false">IF(A24&gt;Assumptions!$B$67,Assumptions!$B$64*INDEX($B$4:$B$39,A24-Assumptions!$B$67),0)</f>
        <v>1.6</v>
      </c>
      <c r="O24" s="21" t="n">
        <f aca="false">N24*PerDeal!$B$9*Assumptions!$B$65*(1-Assumptions!$B$66)</f>
        <v>413372.336328</v>
      </c>
    </row>
    <row r="25" customFormat="false" ht="15" hidden="false" customHeight="true" outlineLevel="0" collapsed="false">
      <c r="A25" s="1" t="n">
        <v>22</v>
      </c>
      <c r="B25" s="1" t="n">
        <f aca="false">IF(A25&lt;=3,Assumptions!$B$5,IF(A25&lt;=6,Assumptions!$B$6,IF(A25&lt;=9,Assumptions!$B$7,IF(A25&lt;=12,Assumptions!$B$8,Assumptions!$B$9))))</f>
        <v>8</v>
      </c>
      <c r="C25" s="1" t="n">
        <f aca="false">IF(A25&gt;Assumptions!$C$46,(1-Assumptions!$B$64)*Assumptions!$B$46*INDEX($B$4:$B$39,A25-Assumptions!$C$46),0)</f>
        <v>0.64</v>
      </c>
      <c r="D25" s="1" t="n">
        <f aca="false">IF(A25&gt;Assumptions!$C$47,(1-Assumptions!$B$64)*Assumptions!$B$47*INDEX($B$4:$B$39,A25-Assumptions!$C$47),0)</f>
        <v>0.64</v>
      </c>
      <c r="E25" s="21" t="n">
        <f aca="false">IF(A25&gt;Assumptions!$C$48,(1-Assumptions!$B$64)*Assumptions!$B$48*INDEX($B$4:$B$39,A25-Assumptions!$C$48),0)</f>
        <v>0</v>
      </c>
      <c r="F25" s="21" t="n">
        <f aca="false">B25*(PerDeal!$B$12-Assumptions!$B$61)+M25*Assumptions!$B$61</f>
        <v>1533126.5219344</v>
      </c>
      <c r="G25" s="21" t="n">
        <f aca="false">C25*PerDeal!$B$57+D25*PerDeal!$B$58+E25*PerDeal!$B$59</f>
        <v>180470.345388445</v>
      </c>
      <c r="H25" s="21" t="n">
        <f aca="false">F25+G25</f>
        <v>1713596.86732285</v>
      </c>
      <c r="I25" s="21" t="n">
        <f aca="false">B25*PerDeal!$B$21</f>
        <v>21145378.85205</v>
      </c>
      <c r="J25" s="1" t="n">
        <f aca="false">SUM($B$4:B25)</f>
        <v>125</v>
      </c>
      <c r="K25" s="1" t="n">
        <f aca="false">IF(A25&gt;Assumptions!$B$53,Assumptions!$B$48*(INDEX($J$4:$J$39,A25-Assumptions!$B$53)-IF(A25&gt;Assumptions!$C$48,INDEX($J$4:$J$39,A25-Assumptions!$C$48),0))+Assumptions!$B$49*INDEX($J$4:$J$39,A25-Assumptions!$B$53),0)</f>
        <v>9.1</v>
      </c>
      <c r="L25" s="21" t="n">
        <f aca="false">K25*PerDeal!$C$9/12*0.98</f>
        <v>271332.3795</v>
      </c>
      <c r="M25" s="1" t="n">
        <f aca="false">B25*Assumptions!$B$60</f>
        <v>24</v>
      </c>
      <c r="N25" s="1" t="n">
        <f aca="false">IF(A25&gt;Assumptions!$B$67,Assumptions!$B$64*INDEX($B$4:$B$39,A25-Assumptions!$B$67),0)</f>
        <v>1.6</v>
      </c>
      <c r="O25" s="21" t="n">
        <f aca="false">N25*PerDeal!$B$9*Assumptions!$B$65*(1-Assumptions!$B$66)</f>
        <v>413372.336328</v>
      </c>
    </row>
    <row r="26" customFormat="false" ht="15" hidden="false" customHeight="true" outlineLevel="0" collapsed="false">
      <c r="A26" s="1" t="n">
        <v>23</v>
      </c>
      <c r="B26" s="1" t="n">
        <f aca="false">IF(A26&lt;=3,Assumptions!$B$5,IF(A26&lt;=6,Assumptions!$B$6,IF(A26&lt;=9,Assumptions!$B$7,IF(A26&lt;=12,Assumptions!$B$8,Assumptions!$B$9))))</f>
        <v>8</v>
      </c>
      <c r="C26" s="1" t="n">
        <f aca="false">IF(A26&gt;Assumptions!$C$46,(1-Assumptions!$B$64)*Assumptions!$B$46*INDEX($B$4:$B$39,A26-Assumptions!$C$46),0)</f>
        <v>0.64</v>
      </c>
      <c r="D26" s="1" t="n">
        <f aca="false">IF(A26&gt;Assumptions!$C$47,(1-Assumptions!$B$64)*Assumptions!$B$47*INDEX($B$4:$B$39,A26-Assumptions!$C$47),0)</f>
        <v>0.64</v>
      </c>
      <c r="E26" s="21" t="n">
        <f aca="false">IF(A26&gt;Assumptions!$C$48,(1-Assumptions!$B$64)*Assumptions!$B$48*INDEX($B$4:$B$39,A26-Assumptions!$C$48),0)</f>
        <v>0</v>
      </c>
      <c r="F26" s="21" t="n">
        <f aca="false">B26*(PerDeal!$B$12-Assumptions!$B$61)+M26*Assumptions!$B$61</f>
        <v>1533126.5219344</v>
      </c>
      <c r="G26" s="21" t="n">
        <f aca="false">C26*PerDeal!$B$57+D26*PerDeal!$B$58+E26*PerDeal!$B$59</f>
        <v>180470.345388445</v>
      </c>
      <c r="H26" s="21" t="n">
        <f aca="false">F26+G26</f>
        <v>1713596.86732285</v>
      </c>
      <c r="I26" s="21" t="n">
        <f aca="false">B26*PerDeal!$B$21</f>
        <v>21145378.85205</v>
      </c>
      <c r="J26" s="1" t="n">
        <f aca="false">SUM($B$4:B26)</f>
        <v>133</v>
      </c>
      <c r="K26" s="1" t="n">
        <f aca="false">IF(A26&gt;Assumptions!$B$53,Assumptions!$B$48*(INDEX($J$4:$J$39,A26-Assumptions!$B$53)-IF(A26&gt;Assumptions!$C$48,INDEX($J$4:$J$39,A26-Assumptions!$C$48),0))+Assumptions!$B$49*INDEX($J$4:$J$39,A26-Assumptions!$B$53),0)</f>
        <v>11.9</v>
      </c>
      <c r="L26" s="21" t="n">
        <f aca="false">K26*PerDeal!$C$9/12*0.98</f>
        <v>354819.2655</v>
      </c>
      <c r="M26" s="1" t="n">
        <f aca="false">B26*Assumptions!$B$60</f>
        <v>24</v>
      </c>
      <c r="N26" s="1" t="n">
        <f aca="false">IF(A26&gt;Assumptions!$B$67,Assumptions!$B$64*INDEX($B$4:$B$39,A26-Assumptions!$B$67),0)</f>
        <v>1.6</v>
      </c>
      <c r="O26" s="21" t="n">
        <f aca="false">N26*PerDeal!$B$9*Assumptions!$B$65*(1-Assumptions!$B$66)</f>
        <v>413372.336328</v>
      </c>
    </row>
    <row r="27" customFormat="false" ht="15" hidden="false" customHeight="true" outlineLevel="0" collapsed="false">
      <c r="A27" s="1" t="n">
        <v>24</v>
      </c>
      <c r="B27" s="1" t="n">
        <f aca="false">IF(A27&lt;=3,Assumptions!$B$5,IF(A27&lt;=6,Assumptions!$B$6,IF(A27&lt;=9,Assumptions!$B$7,IF(A27&lt;=12,Assumptions!$B$8,Assumptions!$B$9))))</f>
        <v>8</v>
      </c>
      <c r="C27" s="1" t="n">
        <f aca="false">IF(A27&gt;Assumptions!$C$46,(1-Assumptions!$B$64)*Assumptions!$B$46*INDEX($B$4:$B$39,A27-Assumptions!$C$46),0)</f>
        <v>0.64</v>
      </c>
      <c r="D27" s="1" t="n">
        <f aca="false">IF(A27&gt;Assumptions!$C$47,(1-Assumptions!$B$64)*Assumptions!$B$47*INDEX($B$4:$B$39,A27-Assumptions!$C$47),0)</f>
        <v>0.64</v>
      </c>
      <c r="E27" s="21" t="n">
        <f aca="false">IF(A27&gt;Assumptions!$C$48,(1-Assumptions!$B$64)*Assumptions!$B$48*INDEX($B$4:$B$39,A27-Assumptions!$C$48),0)</f>
        <v>0</v>
      </c>
      <c r="F27" s="21" t="n">
        <f aca="false">B27*(PerDeal!$B$12-Assumptions!$B$61)+M27*Assumptions!$B$61</f>
        <v>1533126.5219344</v>
      </c>
      <c r="G27" s="21" t="n">
        <f aca="false">C27*PerDeal!$B$57+D27*PerDeal!$B$58+E27*PerDeal!$B$59</f>
        <v>180470.345388445</v>
      </c>
      <c r="H27" s="21" t="n">
        <f aca="false">F27+G27</f>
        <v>1713596.86732285</v>
      </c>
      <c r="I27" s="21" t="n">
        <f aca="false">B27*PerDeal!$B$21</f>
        <v>21145378.85205</v>
      </c>
      <c r="J27" s="1" t="n">
        <f aca="false">SUM($B$4:B27)</f>
        <v>141</v>
      </c>
      <c r="K27" s="1" t="n">
        <f aca="false">IF(A27&gt;Assumptions!$B$53,Assumptions!$B$48*(INDEX($J$4:$J$39,A27-Assumptions!$B$53)-IF(A27&gt;Assumptions!$C$48,INDEX($J$4:$J$39,A27-Assumptions!$C$48),0))+Assumptions!$B$49*INDEX($J$4:$J$39,A27-Assumptions!$B$53),0)</f>
        <v>14.7</v>
      </c>
      <c r="L27" s="21" t="n">
        <f aca="false">K27*PerDeal!$C$9/12*0.98</f>
        <v>438306.1515</v>
      </c>
      <c r="M27" s="1" t="n">
        <f aca="false">B27*Assumptions!$B$60</f>
        <v>24</v>
      </c>
      <c r="N27" s="1" t="n">
        <f aca="false">IF(A27&gt;Assumptions!$B$67,Assumptions!$B$64*INDEX($B$4:$B$39,A27-Assumptions!$B$67),0)</f>
        <v>1.6</v>
      </c>
      <c r="O27" s="21" t="n">
        <f aca="false">N27*PerDeal!$B$9*Assumptions!$B$65*(1-Assumptions!$B$66)</f>
        <v>413372.336328</v>
      </c>
    </row>
    <row r="28" customFormat="false" ht="15" hidden="false" customHeight="true" outlineLevel="0" collapsed="false">
      <c r="A28" s="1" t="n">
        <v>25</v>
      </c>
      <c r="B28" s="1" t="n">
        <f aca="false">IF(A28&lt;=3,Assumptions!$B$5,IF(A28&lt;=6,Assumptions!$B$6,IF(A28&lt;=9,Assumptions!$B$7,IF(A28&lt;=12,Assumptions!$B$8,Assumptions!$B$9))))</f>
        <v>8</v>
      </c>
      <c r="C28" s="1" t="n">
        <f aca="false">IF(A28&gt;Assumptions!$C$46,(1-Assumptions!$B$64)*Assumptions!$B$46*INDEX($B$4:$B$39,A28-Assumptions!$C$46),0)</f>
        <v>0.64</v>
      </c>
      <c r="D28" s="1" t="n">
        <f aca="false">IF(A28&gt;Assumptions!$C$47,(1-Assumptions!$B$64)*Assumptions!$B$47*INDEX($B$4:$B$39,A28-Assumptions!$C$47),0)</f>
        <v>1.28</v>
      </c>
      <c r="E28" s="21" t="n">
        <f aca="false">IF(A28&gt;Assumptions!$C$48,(1-Assumptions!$B$64)*Assumptions!$B$48*INDEX($B$4:$B$39,A28-Assumptions!$C$48),0)</f>
        <v>0.48</v>
      </c>
      <c r="F28" s="21" t="n">
        <f aca="false">B28*(PerDeal!$B$12-Assumptions!$B$61)+M28*Assumptions!$B$61</f>
        <v>1533126.5219344</v>
      </c>
      <c r="G28" s="21" t="n">
        <f aca="false">C28*PerDeal!$B$57+D28*PerDeal!$B$58+E28*PerDeal!$B$59</f>
        <v>521501.444132539</v>
      </c>
      <c r="H28" s="21" t="n">
        <f aca="false">F28+G28</f>
        <v>2054627.96606694</v>
      </c>
      <c r="I28" s="21" t="n">
        <f aca="false">B28*PerDeal!$B$21</f>
        <v>21145378.85205</v>
      </c>
      <c r="J28" s="1" t="n">
        <f aca="false">SUM($B$4:B28)</f>
        <v>149</v>
      </c>
      <c r="K28" s="1" t="n">
        <f aca="false">IF(A28&gt;Assumptions!$B$53,Assumptions!$B$48*(INDEX($J$4:$J$39,A28-Assumptions!$B$53)-IF(A28&gt;Assumptions!$C$48,INDEX($J$4:$J$39,A28-Assumptions!$C$48),0))+Assumptions!$B$49*INDEX($J$4:$J$39,A28-Assumptions!$B$53),0)</f>
        <v>19.7</v>
      </c>
      <c r="L28" s="21" t="n">
        <f aca="false">K28*PerDeal!$C$9/12*0.98</f>
        <v>587389.8765</v>
      </c>
      <c r="M28" s="1" t="n">
        <f aca="false">B28*Assumptions!$B$60</f>
        <v>24</v>
      </c>
      <c r="N28" s="1" t="n">
        <f aca="false">IF(A28&gt;Assumptions!$B$67,Assumptions!$B$64*INDEX($B$4:$B$39,A28-Assumptions!$B$67),0)</f>
        <v>1.6</v>
      </c>
      <c r="O28" s="21" t="n">
        <f aca="false">N28*PerDeal!$B$9*Assumptions!$B$65*(1-Assumptions!$B$66)</f>
        <v>413372.336328</v>
      </c>
    </row>
    <row r="29" customFormat="false" ht="15" hidden="false" customHeight="true" outlineLevel="0" collapsed="false">
      <c r="A29" s="1" t="n">
        <v>26</v>
      </c>
      <c r="B29" s="1" t="n">
        <f aca="false">IF(A29&lt;=3,Assumptions!$B$5,IF(A29&lt;=6,Assumptions!$B$6,IF(A29&lt;=9,Assumptions!$B$7,IF(A29&lt;=12,Assumptions!$B$8,Assumptions!$B$9))))</f>
        <v>8</v>
      </c>
      <c r="C29" s="1" t="n">
        <f aca="false">IF(A29&gt;Assumptions!$C$46,(1-Assumptions!$B$64)*Assumptions!$B$46*INDEX($B$4:$B$39,A29-Assumptions!$C$46),0)</f>
        <v>0.64</v>
      </c>
      <c r="D29" s="1" t="n">
        <f aca="false">IF(A29&gt;Assumptions!$C$47,(1-Assumptions!$B$64)*Assumptions!$B$47*INDEX($B$4:$B$39,A29-Assumptions!$C$47),0)</f>
        <v>1.28</v>
      </c>
      <c r="E29" s="21" t="n">
        <f aca="false">IF(A29&gt;Assumptions!$C$48,(1-Assumptions!$B$64)*Assumptions!$B$48*INDEX($B$4:$B$39,A29-Assumptions!$C$48),0)</f>
        <v>0.48</v>
      </c>
      <c r="F29" s="21" t="n">
        <f aca="false">B29*(PerDeal!$B$12-Assumptions!$B$61)+M29*Assumptions!$B$61</f>
        <v>1533126.5219344</v>
      </c>
      <c r="G29" s="21" t="n">
        <f aca="false">C29*PerDeal!$B$57+D29*PerDeal!$B$58+E29*PerDeal!$B$59</f>
        <v>521501.444132539</v>
      </c>
      <c r="H29" s="21" t="n">
        <f aca="false">F29+G29</f>
        <v>2054627.96606694</v>
      </c>
      <c r="I29" s="21" t="n">
        <f aca="false">B29*PerDeal!$B$21</f>
        <v>21145378.85205</v>
      </c>
      <c r="J29" s="1" t="n">
        <f aca="false">SUM($B$4:B29)</f>
        <v>157</v>
      </c>
      <c r="K29" s="1" t="n">
        <f aca="false">IF(A29&gt;Assumptions!$B$53,Assumptions!$B$48*(INDEX($J$4:$J$39,A29-Assumptions!$B$53)-IF(A29&gt;Assumptions!$C$48,INDEX($J$4:$J$39,A29-Assumptions!$C$48),0))+Assumptions!$B$49*INDEX($J$4:$J$39,A29-Assumptions!$B$53),0)</f>
        <v>24.7</v>
      </c>
      <c r="L29" s="21" t="n">
        <f aca="false">K29*PerDeal!$C$9/12*0.98</f>
        <v>736473.6015</v>
      </c>
      <c r="M29" s="1" t="n">
        <f aca="false">B29*Assumptions!$B$60</f>
        <v>24</v>
      </c>
      <c r="N29" s="1" t="n">
        <f aca="false">IF(A29&gt;Assumptions!$B$67,Assumptions!$B$64*INDEX($B$4:$B$39,A29-Assumptions!$B$67),0)</f>
        <v>1.6</v>
      </c>
      <c r="O29" s="21" t="n">
        <f aca="false">N29*PerDeal!$B$9*Assumptions!$B$65*(1-Assumptions!$B$66)</f>
        <v>413372.336328</v>
      </c>
    </row>
    <row r="30" customFormat="false" ht="15" hidden="false" customHeight="true" outlineLevel="0" collapsed="false">
      <c r="A30" s="1" t="n">
        <v>27</v>
      </c>
      <c r="B30" s="1" t="n">
        <f aca="false">IF(A30&lt;=3,Assumptions!$B$5,IF(A30&lt;=6,Assumptions!$B$6,IF(A30&lt;=9,Assumptions!$B$7,IF(A30&lt;=12,Assumptions!$B$8,Assumptions!$B$9))))</f>
        <v>8</v>
      </c>
      <c r="C30" s="1" t="n">
        <f aca="false">IF(A30&gt;Assumptions!$C$46,(1-Assumptions!$B$64)*Assumptions!$B$46*INDEX($B$4:$B$39,A30-Assumptions!$C$46),0)</f>
        <v>0.64</v>
      </c>
      <c r="D30" s="1" t="n">
        <f aca="false">IF(A30&gt;Assumptions!$C$47,(1-Assumptions!$B$64)*Assumptions!$B$47*INDEX($B$4:$B$39,A30-Assumptions!$C$47),0)</f>
        <v>1.28</v>
      </c>
      <c r="E30" s="21" t="n">
        <f aca="false">IF(A30&gt;Assumptions!$C$48,(1-Assumptions!$B$64)*Assumptions!$B$48*INDEX($B$4:$B$39,A30-Assumptions!$C$48),0)</f>
        <v>0.48</v>
      </c>
      <c r="F30" s="21" t="n">
        <f aca="false">B30*(PerDeal!$B$12-Assumptions!$B$61)+M30*Assumptions!$B$61</f>
        <v>1533126.5219344</v>
      </c>
      <c r="G30" s="21" t="n">
        <f aca="false">C30*PerDeal!$B$57+D30*PerDeal!$B$58+E30*PerDeal!$B$59</f>
        <v>521501.444132539</v>
      </c>
      <c r="H30" s="21" t="n">
        <f aca="false">F30+G30</f>
        <v>2054627.96606694</v>
      </c>
      <c r="I30" s="21" t="n">
        <f aca="false">B30*PerDeal!$B$21</f>
        <v>21145378.85205</v>
      </c>
      <c r="J30" s="1" t="n">
        <f aca="false">SUM($B$4:B30)</f>
        <v>165</v>
      </c>
      <c r="K30" s="1" t="n">
        <f aca="false">IF(A30&gt;Assumptions!$B$53,Assumptions!$B$48*(INDEX($J$4:$J$39,A30-Assumptions!$B$53)-IF(A30&gt;Assumptions!$C$48,INDEX($J$4:$J$39,A30-Assumptions!$C$48),0))+Assumptions!$B$49*INDEX($J$4:$J$39,A30-Assumptions!$B$53),0)</f>
        <v>29.7</v>
      </c>
      <c r="L30" s="21" t="n">
        <f aca="false">K30*PerDeal!$C$9/12*0.98</f>
        <v>885557.3265</v>
      </c>
      <c r="M30" s="1" t="n">
        <f aca="false">B30*Assumptions!$B$60</f>
        <v>24</v>
      </c>
      <c r="N30" s="1" t="n">
        <f aca="false">IF(A30&gt;Assumptions!$B$67,Assumptions!$B$64*INDEX($B$4:$B$39,A30-Assumptions!$B$67),0)</f>
        <v>1.6</v>
      </c>
      <c r="O30" s="21" t="n">
        <f aca="false">N30*PerDeal!$B$9*Assumptions!$B$65*(1-Assumptions!$B$66)</f>
        <v>413372.336328</v>
      </c>
    </row>
    <row r="31" customFormat="false" ht="15" hidden="false" customHeight="true" outlineLevel="0" collapsed="false">
      <c r="A31" s="1" t="n">
        <v>28</v>
      </c>
      <c r="B31" s="1" t="n">
        <f aca="false">IF(A31&lt;=3,Assumptions!$B$5,IF(A31&lt;=6,Assumptions!$B$6,IF(A31&lt;=9,Assumptions!$B$7,IF(A31&lt;=12,Assumptions!$B$8,Assumptions!$B$9))))</f>
        <v>8</v>
      </c>
      <c r="C31" s="1" t="n">
        <f aca="false">IF(A31&gt;Assumptions!$C$46,(1-Assumptions!$B$64)*Assumptions!$B$46*INDEX($B$4:$B$39,A31-Assumptions!$C$46),0)</f>
        <v>0.64</v>
      </c>
      <c r="D31" s="1" t="n">
        <f aca="false">IF(A31&gt;Assumptions!$C$47,(1-Assumptions!$B$64)*Assumptions!$B$47*INDEX($B$4:$B$39,A31-Assumptions!$C$47),0)</f>
        <v>1.28</v>
      </c>
      <c r="E31" s="21" t="n">
        <f aca="false">IF(A31&gt;Assumptions!$C$48,(1-Assumptions!$B$64)*Assumptions!$B$48*INDEX($B$4:$B$39,A31-Assumptions!$C$48),0)</f>
        <v>0.96</v>
      </c>
      <c r="F31" s="21" t="n">
        <f aca="false">B31*(PerDeal!$B$12-Assumptions!$B$61)+M31*Assumptions!$B$61</f>
        <v>1533126.5219344</v>
      </c>
      <c r="G31" s="21" t="n">
        <f aca="false">C31*PerDeal!$B$57+D31*PerDeal!$B$58+E31*PerDeal!$B$59</f>
        <v>754473.206226477</v>
      </c>
      <c r="H31" s="21" t="n">
        <f aca="false">F31+G31</f>
        <v>2287599.72816088</v>
      </c>
      <c r="I31" s="21" t="n">
        <f aca="false">B31*PerDeal!$B$21</f>
        <v>21145378.85205</v>
      </c>
      <c r="J31" s="1" t="n">
        <f aca="false">SUM($B$4:B31)</f>
        <v>173</v>
      </c>
      <c r="K31" s="1" t="n">
        <f aca="false">IF(A31&gt;Assumptions!$B$53,Assumptions!$B$48*(INDEX($J$4:$J$39,A31-Assumptions!$B$53)-IF(A31&gt;Assumptions!$C$48,INDEX($J$4:$J$39,A31-Assumptions!$C$48),0))+Assumptions!$B$49*INDEX($J$4:$J$39,A31-Assumptions!$B$53),0)</f>
        <v>34.1</v>
      </c>
      <c r="L31" s="21" t="n">
        <f aca="false">K31*PerDeal!$C$9/12*0.98</f>
        <v>1016751.0045</v>
      </c>
      <c r="M31" s="1" t="n">
        <f aca="false">B31*Assumptions!$B$60</f>
        <v>24</v>
      </c>
      <c r="N31" s="1" t="n">
        <f aca="false">IF(A31&gt;Assumptions!$B$67,Assumptions!$B$64*INDEX($B$4:$B$39,A31-Assumptions!$B$67),0)</f>
        <v>1.6</v>
      </c>
      <c r="O31" s="21" t="n">
        <f aca="false">N31*PerDeal!$B$9*Assumptions!$B$65*(1-Assumptions!$B$66)</f>
        <v>413372.336328</v>
      </c>
    </row>
    <row r="32" customFormat="false" ht="15" hidden="false" customHeight="true" outlineLevel="0" collapsed="false">
      <c r="A32" s="1" t="n">
        <v>29</v>
      </c>
      <c r="B32" s="1" t="n">
        <f aca="false">IF(A32&lt;=3,Assumptions!$B$5,IF(A32&lt;=6,Assumptions!$B$6,IF(A32&lt;=9,Assumptions!$B$7,IF(A32&lt;=12,Assumptions!$B$8,Assumptions!$B$9))))</f>
        <v>8</v>
      </c>
      <c r="C32" s="1" t="n">
        <f aca="false">IF(A32&gt;Assumptions!$C$46,(1-Assumptions!$B$64)*Assumptions!$B$46*INDEX($B$4:$B$39,A32-Assumptions!$C$46),0)</f>
        <v>0.64</v>
      </c>
      <c r="D32" s="1" t="n">
        <f aca="false">IF(A32&gt;Assumptions!$C$47,(1-Assumptions!$B$64)*Assumptions!$B$47*INDEX($B$4:$B$39,A32-Assumptions!$C$47),0)</f>
        <v>1.28</v>
      </c>
      <c r="E32" s="21" t="n">
        <f aca="false">IF(A32&gt;Assumptions!$C$48,(1-Assumptions!$B$64)*Assumptions!$B$48*INDEX($B$4:$B$39,A32-Assumptions!$C$48),0)</f>
        <v>0.96</v>
      </c>
      <c r="F32" s="21" t="n">
        <f aca="false">B32*(PerDeal!$B$12-Assumptions!$B$61)+M32*Assumptions!$B$61</f>
        <v>1533126.5219344</v>
      </c>
      <c r="G32" s="21" t="n">
        <f aca="false">C32*PerDeal!$B$57+D32*PerDeal!$B$58+E32*PerDeal!$B$59</f>
        <v>754473.206226477</v>
      </c>
      <c r="H32" s="21" t="n">
        <f aca="false">F32+G32</f>
        <v>2287599.72816088</v>
      </c>
      <c r="I32" s="21" t="n">
        <f aca="false">B32*PerDeal!$B$21</f>
        <v>21145378.85205</v>
      </c>
      <c r="J32" s="1" t="n">
        <f aca="false">SUM($B$4:B32)</f>
        <v>181</v>
      </c>
      <c r="K32" s="1" t="n">
        <f aca="false">IF(A32&gt;Assumptions!$B$53,Assumptions!$B$48*(INDEX($J$4:$J$39,A32-Assumptions!$B$53)-IF(A32&gt;Assumptions!$C$48,INDEX($J$4:$J$39,A32-Assumptions!$C$48),0))+Assumptions!$B$49*INDEX($J$4:$J$39,A32-Assumptions!$B$53),0)</f>
        <v>38.5</v>
      </c>
      <c r="L32" s="21" t="n">
        <f aca="false">K32*PerDeal!$C$9/12*0.98</f>
        <v>1147944.6825</v>
      </c>
      <c r="M32" s="1" t="n">
        <f aca="false">B32*Assumptions!$B$60</f>
        <v>24</v>
      </c>
      <c r="N32" s="1" t="n">
        <f aca="false">IF(A32&gt;Assumptions!$B$67,Assumptions!$B$64*INDEX($B$4:$B$39,A32-Assumptions!$B$67),0)</f>
        <v>1.6</v>
      </c>
      <c r="O32" s="21" t="n">
        <f aca="false">N32*PerDeal!$B$9*Assumptions!$B$65*(1-Assumptions!$B$66)</f>
        <v>413372.336328</v>
      </c>
    </row>
    <row r="33" customFormat="false" ht="15" hidden="false" customHeight="true" outlineLevel="0" collapsed="false">
      <c r="A33" s="1" t="n">
        <v>30</v>
      </c>
      <c r="B33" s="1" t="n">
        <f aca="false">IF(A33&lt;=3,Assumptions!$B$5,IF(A33&lt;=6,Assumptions!$B$6,IF(A33&lt;=9,Assumptions!$B$7,IF(A33&lt;=12,Assumptions!$B$8,Assumptions!$B$9))))</f>
        <v>8</v>
      </c>
      <c r="C33" s="1" t="n">
        <f aca="false">IF(A33&gt;Assumptions!$C$46,(1-Assumptions!$B$64)*Assumptions!$B$46*INDEX($B$4:$B$39,A33-Assumptions!$C$46),0)</f>
        <v>0.64</v>
      </c>
      <c r="D33" s="1" t="n">
        <f aca="false">IF(A33&gt;Assumptions!$C$47,(1-Assumptions!$B$64)*Assumptions!$B$47*INDEX($B$4:$B$39,A33-Assumptions!$C$47),0)</f>
        <v>1.28</v>
      </c>
      <c r="E33" s="21" t="n">
        <f aca="false">IF(A33&gt;Assumptions!$C$48,(1-Assumptions!$B$64)*Assumptions!$B$48*INDEX($B$4:$B$39,A33-Assumptions!$C$48),0)</f>
        <v>0.96</v>
      </c>
      <c r="F33" s="21" t="n">
        <f aca="false">B33*(PerDeal!$B$12-Assumptions!$B$61)+M33*Assumptions!$B$61</f>
        <v>1533126.5219344</v>
      </c>
      <c r="G33" s="21" t="n">
        <f aca="false">C33*PerDeal!$B$57+D33*PerDeal!$B$58+E33*PerDeal!$B$59</f>
        <v>754473.206226477</v>
      </c>
      <c r="H33" s="21" t="n">
        <f aca="false">F33+G33</f>
        <v>2287599.72816088</v>
      </c>
      <c r="I33" s="21" t="n">
        <f aca="false">B33*PerDeal!$B$21</f>
        <v>21145378.85205</v>
      </c>
      <c r="J33" s="1" t="n">
        <f aca="false">SUM($B$4:B33)</f>
        <v>189</v>
      </c>
      <c r="K33" s="1" t="n">
        <f aca="false">IF(A33&gt;Assumptions!$B$53,Assumptions!$B$48*(INDEX($J$4:$J$39,A33-Assumptions!$B$53)-IF(A33&gt;Assumptions!$C$48,INDEX($J$4:$J$39,A33-Assumptions!$C$48),0))+Assumptions!$B$49*INDEX($J$4:$J$39,A33-Assumptions!$B$53),0)</f>
        <v>42.9</v>
      </c>
      <c r="L33" s="21" t="n">
        <f aca="false">K33*PerDeal!$C$9/12*0.98</f>
        <v>1279138.3605</v>
      </c>
      <c r="M33" s="1" t="n">
        <f aca="false">B33*Assumptions!$B$60</f>
        <v>24</v>
      </c>
      <c r="N33" s="1" t="n">
        <f aca="false">IF(A33&gt;Assumptions!$B$67,Assumptions!$B$64*INDEX($B$4:$B$39,A33-Assumptions!$B$67),0)</f>
        <v>1.6</v>
      </c>
      <c r="O33" s="21" t="n">
        <f aca="false">N33*PerDeal!$B$9*Assumptions!$B$65*(1-Assumptions!$B$66)</f>
        <v>413372.336328</v>
      </c>
    </row>
    <row r="34" customFormat="false" ht="15" hidden="false" customHeight="true" outlineLevel="0" collapsed="false">
      <c r="A34" s="1" t="n">
        <v>31</v>
      </c>
      <c r="B34" s="1" t="n">
        <f aca="false">IF(A34&lt;=3,Assumptions!$B$5,IF(A34&lt;=6,Assumptions!$B$6,IF(A34&lt;=9,Assumptions!$B$7,IF(A34&lt;=12,Assumptions!$B$8,Assumptions!$B$9))))</f>
        <v>8</v>
      </c>
      <c r="C34" s="1" t="n">
        <f aca="false">IF(A34&gt;Assumptions!$C$46,(1-Assumptions!$B$64)*Assumptions!$B$46*INDEX($B$4:$B$39,A34-Assumptions!$C$46),0)</f>
        <v>0.64</v>
      </c>
      <c r="D34" s="1" t="n">
        <f aca="false">IF(A34&gt;Assumptions!$C$47,(1-Assumptions!$B$64)*Assumptions!$B$47*INDEX($B$4:$B$39,A34-Assumptions!$C$47),0)</f>
        <v>1.28</v>
      </c>
      <c r="E34" s="21" t="n">
        <f aca="false">IF(A34&gt;Assumptions!$C$48,(1-Assumptions!$B$64)*Assumptions!$B$48*INDEX($B$4:$B$39,A34-Assumptions!$C$48),0)</f>
        <v>1.92</v>
      </c>
      <c r="F34" s="21" t="n">
        <f aca="false">B34*(PerDeal!$B$12-Assumptions!$B$61)+M34*Assumptions!$B$61</f>
        <v>1533126.5219344</v>
      </c>
      <c r="G34" s="21" t="n">
        <f aca="false">C34*PerDeal!$B$57+D34*PerDeal!$B$58+E34*PerDeal!$B$59</f>
        <v>1220416.73041435</v>
      </c>
      <c r="H34" s="21" t="n">
        <f aca="false">F34+G34</f>
        <v>2753543.25234875</v>
      </c>
      <c r="I34" s="21" t="n">
        <f aca="false">B34*PerDeal!$B$21</f>
        <v>21145378.85205</v>
      </c>
      <c r="J34" s="1" t="n">
        <f aca="false">SUM($B$4:B34)</f>
        <v>197</v>
      </c>
      <c r="K34" s="1" t="n">
        <f aca="false">IF(A34&gt;Assumptions!$B$53,Assumptions!$B$48*(INDEX($J$4:$J$39,A34-Assumptions!$B$53)-IF(A34&gt;Assumptions!$C$48,INDEX($J$4:$J$39,A34-Assumptions!$C$48),0))+Assumptions!$B$49*INDEX($J$4:$J$39,A34-Assumptions!$B$53),0)</f>
        <v>46.1</v>
      </c>
      <c r="L34" s="21" t="n">
        <f aca="false">K34*PerDeal!$C$9/12*0.98</f>
        <v>1374551.9445</v>
      </c>
      <c r="M34" s="1" t="n">
        <f aca="false">B34*Assumptions!$B$60</f>
        <v>24</v>
      </c>
      <c r="N34" s="1" t="n">
        <f aca="false">IF(A34&gt;Assumptions!$B$67,Assumptions!$B$64*INDEX($B$4:$B$39,A34-Assumptions!$B$67),0)</f>
        <v>1.6</v>
      </c>
      <c r="O34" s="21" t="n">
        <f aca="false">N34*PerDeal!$B$9*Assumptions!$B$65*(1-Assumptions!$B$66)</f>
        <v>413372.336328</v>
      </c>
    </row>
    <row r="35" customFormat="false" ht="15" hidden="false" customHeight="true" outlineLevel="0" collapsed="false">
      <c r="A35" s="1" t="n">
        <v>32</v>
      </c>
      <c r="B35" s="1" t="n">
        <f aca="false">IF(A35&lt;=3,Assumptions!$B$5,IF(A35&lt;=6,Assumptions!$B$6,IF(A35&lt;=9,Assumptions!$B$7,IF(A35&lt;=12,Assumptions!$B$8,Assumptions!$B$9))))</f>
        <v>8</v>
      </c>
      <c r="C35" s="1" t="n">
        <f aca="false">IF(A35&gt;Assumptions!$C$46,(1-Assumptions!$B$64)*Assumptions!$B$46*INDEX($B$4:$B$39,A35-Assumptions!$C$46),0)</f>
        <v>0.64</v>
      </c>
      <c r="D35" s="1" t="n">
        <f aca="false">IF(A35&gt;Assumptions!$C$47,(1-Assumptions!$B$64)*Assumptions!$B$47*INDEX($B$4:$B$39,A35-Assumptions!$C$47),0)</f>
        <v>1.28</v>
      </c>
      <c r="E35" s="21" t="n">
        <f aca="false">IF(A35&gt;Assumptions!$C$48,(1-Assumptions!$B$64)*Assumptions!$B$48*INDEX($B$4:$B$39,A35-Assumptions!$C$48),0)</f>
        <v>1.92</v>
      </c>
      <c r="F35" s="21" t="n">
        <f aca="false">B35*(PerDeal!$B$12-Assumptions!$B$61)+M35*Assumptions!$B$61</f>
        <v>1533126.5219344</v>
      </c>
      <c r="G35" s="21" t="n">
        <f aca="false">C35*PerDeal!$B$57+D35*PerDeal!$B$58+E35*PerDeal!$B$59</f>
        <v>1220416.73041435</v>
      </c>
      <c r="H35" s="21" t="n">
        <f aca="false">F35+G35</f>
        <v>2753543.25234875</v>
      </c>
      <c r="I35" s="21" t="n">
        <f aca="false">B35*PerDeal!$B$21</f>
        <v>21145378.85205</v>
      </c>
      <c r="J35" s="1" t="n">
        <f aca="false">SUM($B$4:B35)</f>
        <v>205</v>
      </c>
      <c r="K35" s="1" t="n">
        <f aca="false">IF(A35&gt;Assumptions!$B$53,Assumptions!$B$48*(INDEX($J$4:$J$39,A35-Assumptions!$B$53)-IF(A35&gt;Assumptions!$C$48,INDEX($J$4:$J$39,A35-Assumptions!$C$48),0))+Assumptions!$B$49*INDEX($J$4:$J$39,A35-Assumptions!$B$53),0)</f>
        <v>49.3</v>
      </c>
      <c r="L35" s="21" t="n">
        <f aca="false">K35*PerDeal!$C$9/12*0.98</f>
        <v>1469965.5285</v>
      </c>
      <c r="M35" s="1" t="n">
        <f aca="false">B35*Assumptions!$B$60</f>
        <v>24</v>
      </c>
      <c r="N35" s="1" t="n">
        <f aca="false">IF(A35&gt;Assumptions!$B$67,Assumptions!$B$64*INDEX($B$4:$B$39,A35-Assumptions!$B$67),0)</f>
        <v>1.6</v>
      </c>
      <c r="O35" s="21" t="n">
        <f aca="false">N35*PerDeal!$B$9*Assumptions!$B$65*(1-Assumptions!$B$66)</f>
        <v>413372.336328</v>
      </c>
    </row>
    <row r="36" customFormat="false" ht="15" hidden="false" customHeight="true" outlineLevel="0" collapsed="false">
      <c r="A36" s="1" t="n">
        <v>33</v>
      </c>
      <c r="B36" s="1" t="n">
        <f aca="false">IF(A36&lt;=3,Assumptions!$B$5,IF(A36&lt;=6,Assumptions!$B$6,IF(A36&lt;=9,Assumptions!$B$7,IF(A36&lt;=12,Assumptions!$B$8,Assumptions!$B$9))))</f>
        <v>8</v>
      </c>
      <c r="C36" s="1" t="n">
        <f aca="false">IF(A36&gt;Assumptions!$C$46,(1-Assumptions!$B$64)*Assumptions!$B$46*INDEX($B$4:$B$39,A36-Assumptions!$C$46),0)</f>
        <v>0.64</v>
      </c>
      <c r="D36" s="1" t="n">
        <f aca="false">IF(A36&gt;Assumptions!$C$47,(1-Assumptions!$B$64)*Assumptions!$B$47*INDEX($B$4:$B$39,A36-Assumptions!$C$47),0)</f>
        <v>1.28</v>
      </c>
      <c r="E36" s="21" t="n">
        <f aca="false">IF(A36&gt;Assumptions!$C$48,(1-Assumptions!$B$64)*Assumptions!$B$48*INDEX($B$4:$B$39,A36-Assumptions!$C$48),0)</f>
        <v>1.92</v>
      </c>
      <c r="F36" s="21" t="n">
        <f aca="false">B36*(PerDeal!$B$12-Assumptions!$B$61)+M36*Assumptions!$B$61</f>
        <v>1533126.5219344</v>
      </c>
      <c r="G36" s="21" t="n">
        <f aca="false">C36*PerDeal!$B$57+D36*PerDeal!$B$58+E36*PerDeal!$B$59</f>
        <v>1220416.73041435</v>
      </c>
      <c r="H36" s="21" t="n">
        <f aca="false">F36+G36</f>
        <v>2753543.25234875</v>
      </c>
      <c r="I36" s="21" t="n">
        <f aca="false">B36*PerDeal!$B$21</f>
        <v>21145378.85205</v>
      </c>
      <c r="J36" s="1" t="n">
        <f aca="false">SUM($B$4:B36)</f>
        <v>213</v>
      </c>
      <c r="K36" s="1" t="n">
        <f aca="false">IF(A36&gt;Assumptions!$B$53,Assumptions!$B$48*(INDEX($J$4:$J$39,A36-Assumptions!$B$53)-IF(A36&gt;Assumptions!$C$48,INDEX($J$4:$J$39,A36-Assumptions!$C$48),0))+Assumptions!$B$49*INDEX($J$4:$J$39,A36-Assumptions!$B$53),0)</f>
        <v>52.5</v>
      </c>
      <c r="L36" s="21" t="n">
        <f aca="false">K36*PerDeal!$C$9/12*0.98</f>
        <v>1565379.1125</v>
      </c>
      <c r="M36" s="1" t="n">
        <f aca="false">B36*Assumptions!$B$60</f>
        <v>24</v>
      </c>
      <c r="N36" s="1" t="n">
        <f aca="false">IF(A36&gt;Assumptions!$B$67,Assumptions!$B$64*INDEX($B$4:$B$39,A36-Assumptions!$B$67),0)</f>
        <v>1.6</v>
      </c>
      <c r="O36" s="21" t="n">
        <f aca="false">N36*PerDeal!$B$9*Assumptions!$B$65*(1-Assumptions!$B$66)</f>
        <v>413372.336328</v>
      </c>
    </row>
    <row r="37" customFormat="false" ht="15" hidden="false" customHeight="true" outlineLevel="0" collapsed="false">
      <c r="A37" s="1" t="n">
        <v>34</v>
      </c>
      <c r="B37" s="1" t="n">
        <f aca="false">IF(A37&lt;=3,Assumptions!$B$5,IF(A37&lt;=6,Assumptions!$B$6,IF(A37&lt;=9,Assumptions!$B$7,IF(A37&lt;=12,Assumptions!$B$8,Assumptions!$B$9))))</f>
        <v>8</v>
      </c>
      <c r="C37" s="1" t="n">
        <f aca="false">IF(A37&gt;Assumptions!$C$46,(1-Assumptions!$B$64)*Assumptions!$B$46*INDEX($B$4:$B$39,A37-Assumptions!$C$46),0)</f>
        <v>0.64</v>
      </c>
      <c r="D37" s="1" t="n">
        <f aca="false">IF(A37&gt;Assumptions!$C$47,(1-Assumptions!$B$64)*Assumptions!$B$47*INDEX($B$4:$B$39,A37-Assumptions!$C$47),0)</f>
        <v>1.28</v>
      </c>
      <c r="E37" s="21" t="n">
        <f aca="false">IF(A37&gt;Assumptions!$C$48,(1-Assumptions!$B$64)*Assumptions!$B$48*INDEX($B$4:$B$39,A37-Assumptions!$C$48),0)</f>
        <v>3.84</v>
      </c>
      <c r="F37" s="21" t="n">
        <f aca="false">B37*(PerDeal!$B$12-Assumptions!$B$61)+M37*Assumptions!$B$61</f>
        <v>1533126.5219344</v>
      </c>
      <c r="G37" s="21" t="n">
        <f aca="false">C37*PerDeal!$B$57+D37*PerDeal!$B$58+E37*PerDeal!$B$59</f>
        <v>2152303.7787901</v>
      </c>
      <c r="H37" s="21" t="n">
        <f aca="false">F37+G37</f>
        <v>3685430.3007245</v>
      </c>
      <c r="I37" s="21" t="n">
        <f aca="false">B37*PerDeal!$B$21</f>
        <v>21145378.85205</v>
      </c>
      <c r="J37" s="1" t="n">
        <f aca="false">SUM($B$4:B37)</f>
        <v>221</v>
      </c>
      <c r="K37" s="1" t="n">
        <f aca="false">IF(A37&gt;Assumptions!$B$53,Assumptions!$B$48*(INDEX($J$4:$J$39,A37-Assumptions!$B$53)-IF(A37&gt;Assumptions!$C$48,INDEX($J$4:$J$39,A37-Assumptions!$C$48),0))+Assumptions!$B$49*INDEX($J$4:$J$39,A37-Assumptions!$B$53),0)</f>
        <v>53.3</v>
      </c>
      <c r="L37" s="21" t="n">
        <f aca="false">K37*PerDeal!$C$9/12*0.98</f>
        <v>1589232.5085</v>
      </c>
      <c r="M37" s="1" t="n">
        <f aca="false">B37*Assumptions!$B$60</f>
        <v>24</v>
      </c>
      <c r="N37" s="1" t="n">
        <f aca="false">IF(A37&gt;Assumptions!$B$67,Assumptions!$B$64*INDEX($B$4:$B$39,A37-Assumptions!$B$67),0)</f>
        <v>1.6</v>
      </c>
      <c r="O37" s="21" t="n">
        <f aca="false">N37*PerDeal!$B$9*Assumptions!$B$65*(1-Assumptions!$B$66)</f>
        <v>413372.336328</v>
      </c>
    </row>
    <row r="38" customFormat="false" ht="15" hidden="false" customHeight="true" outlineLevel="0" collapsed="false">
      <c r="A38" s="1" t="n">
        <v>35</v>
      </c>
      <c r="B38" s="1" t="n">
        <f aca="false">IF(A38&lt;=3,Assumptions!$B$5,IF(A38&lt;=6,Assumptions!$B$6,IF(A38&lt;=9,Assumptions!$B$7,IF(A38&lt;=12,Assumptions!$B$8,Assumptions!$B$9))))</f>
        <v>8</v>
      </c>
      <c r="C38" s="1" t="n">
        <f aca="false">IF(A38&gt;Assumptions!$C$46,(1-Assumptions!$B$64)*Assumptions!$B$46*INDEX($B$4:$B$39,A38-Assumptions!$C$46),0)</f>
        <v>0.64</v>
      </c>
      <c r="D38" s="1" t="n">
        <f aca="false">IF(A38&gt;Assumptions!$C$47,(1-Assumptions!$B$64)*Assumptions!$B$47*INDEX($B$4:$B$39,A38-Assumptions!$C$47),0)</f>
        <v>1.28</v>
      </c>
      <c r="E38" s="21" t="n">
        <f aca="false">IF(A38&gt;Assumptions!$C$48,(1-Assumptions!$B$64)*Assumptions!$B$48*INDEX($B$4:$B$39,A38-Assumptions!$C$48),0)</f>
        <v>3.84</v>
      </c>
      <c r="F38" s="21" t="n">
        <f aca="false">B38*(PerDeal!$B$12-Assumptions!$B$61)+M38*Assumptions!$B$61</f>
        <v>1533126.5219344</v>
      </c>
      <c r="G38" s="21" t="n">
        <f aca="false">C38*PerDeal!$B$57+D38*PerDeal!$B$58+E38*PerDeal!$B$59</f>
        <v>2152303.7787901</v>
      </c>
      <c r="H38" s="21" t="n">
        <f aca="false">F38+G38</f>
        <v>3685430.3007245</v>
      </c>
      <c r="I38" s="21" t="n">
        <f aca="false">B38*PerDeal!$B$21</f>
        <v>21145378.85205</v>
      </c>
      <c r="J38" s="1" t="n">
        <f aca="false">SUM($B$4:B38)</f>
        <v>229</v>
      </c>
      <c r="K38" s="1" t="n">
        <f aca="false">IF(A38&gt;Assumptions!$B$53,Assumptions!$B$48*(INDEX($J$4:$J$39,A38-Assumptions!$B$53)-IF(A38&gt;Assumptions!$C$48,INDEX($J$4:$J$39,A38-Assumptions!$C$48),0))+Assumptions!$B$49*INDEX($J$4:$J$39,A38-Assumptions!$B$53),0)</f>
        <v>54.1</v>
      </c>
      <c r="L38" s="21" t="n">
        <f aca="false">K38*PerDeal!$C$9/12*0.98</f>
        <v>1613085.9045</v>
      </c>
      <c r="M38" s="1" t="n">
        <f aca="false">B38*Assumptions!$B$60</f>
        <v>24</v>
      </c>
      <c r="N38" s="1" t="n">
        <f aca="false">IF(A38&gt;Assumptions!$B$67,Assumptions!$B$64*INDEX($B$4:$B$39,A38-Assumptions!$B$67),0)</f>
        <v>1.6</v>
      </c>
      <c r="O38" s="21" t="n">
        <f aca="false">N38*PerDeal!$B$9*Assumptions!$B$65*(1-Assumptions!$B$66)</f>
        <v>413372.336328</v>
      </c>
    </row>
    <row r="39" customFormat="false" ht="15" hidden="false" customHeight="true" outlineLevel="0" collapsed="false">
      <c r="A39" s="1" t="n">
        <v>36</v>
      </c>
      <c r="B39" s="1" t="n">
        <f aca="false">IF(A39&lt;=3,Assumptions!$B$5,IF(A39&lt;=6,Assumptions!$B$6,IF(A39&lt;=9,Assumptions!$B$7,IF(A39&lt;=12,Assumptions!$B$8,Assumptions!$B$9))))</f>
        <v>8</v>
      </c>
      <c r="C39" s="1" t="n">
        <f aca="false">IF(A39&gt;Assumptions!$C$46,(1-Assumptions!$B$64)*Assumptions!$B$46*INDEX($B$4:$B$39,A39-Assumptions!$C$46),0)</f>
        <v>0.64</v>
      </c>
      <c r="D39" s="1" t="n">
        <f aca="false">IF(A39&gt;Assumptions!$C$47,(1-Assumptions!$B$64)*Assumptions!$B$47*INDEX($B$4:$B$39,A39-Assumptions!$C$47),0)</f>
        <v>1.28</v>
      </c>
      <c r="E39" s="21" t="n">
        <f aca="false">IF(A39&gt;Assumptions!$C$48,(1-Assumptions!$B$64)*Assumptions!$B$48*INDEX($B$4:$B$39,A39-Assumptions!$C$48),0)</f>
        <v>3.84</v>
      </c>
      <c r="F39" s="21" t="n">
        <f aca="false">B39*(PerDeal!$B$12-Assumptions!$B$61)+M39*Assumptions!$B$61</f>
        <v>1533126.5219344</v>
      </c>
      <c r="G39" s="21" t="n">
        <f aca="false">C39*PerDeal!$B$57+D39*PerDeal!$B$58+E39*PerDeal!$B$59</f>
        <v>2152303.7787901</v>
      </c>
      <c r="H39" s="21" t="n">
        <f aca="false">F39+G39</f>
        <v>3685430.3007245</v>
      </c>
      <c r="I39" s="21" t="n">
        <f aca="false">B39*PerDeal!$B$21</f>
        <v>21145378.85205</v>
      </c>
      <c r="J39" s="1" t="n">
        <f aca="false">SUM($B$4:B39)</f>
        <v>237</v>
      </c>
      <c r="K39" s="1" t="n">
        <f aca="false">IF(A39&gt;Assumptions!$B$53,Assumptions!$B$48*(INDEX($J$4:$J$39,A39-Assumptions!$B$53)-IF(A39&gt;Assumptions!$C$48,INDEX($J$4:$J$39,A39-Assumptions!$C$48),0))+Assumptions!$B$49*INDEX($J$4:$J$39,A39-Assumptions!$B$53),0)</f>
        <v>54.9</v>
      </c>
      <c r="L39" s="21" t="n">
        <f aca="false">K39*PerDeal!$C$9/12*0.98</f>
        <v>1636939.3005</v>
      </c>
      <c r="M39" s="1" t="n">
        <f aca="false">B39*Assumptions!$B$60</f>
        <v>24</v>
      </c>
      <c r="N39" s="1" t="n">
        <f aca="false">IF(A39&gt;Assumptions!$B$67,Assumptions!$B$64*INDEX($B$4:$B$39,A39-Assumptions!$B$67),0)</f>
        <v>1.6</v>
      </c>
      <c r="O39" s="21" t="n">
        <f aca="false">N39*PerDeal!$B$9*Assumptions!$B$65*(1-Assumptions!$B$66)</f>
        <v>413372.336328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4" min="2" style="1" width="16"/>
    <col collapsed="false" customWidth="true" hidden="false" outlineLevel="0" max="5" min="5" style="1" width="17"/>
  </cols>
  <sheetData>
    <row r="1" customFormat="false" ht="15" hidden="false" customHeight="true" outlineLevel="0" collapsed="false">
      <c r="A1" s="18" t="s">
        <v>313</v>
      </c>
    </row>
    <row r="3" customFormat="false" ht="15" hidden="false" customHeight="true" outlineLevel="0" collapsed="false">
      <c r="A3" s="11"/>
      <c r="B3" s="11" t="s">
        <v>314</v>
      </c>
      <c r="C3" s="11" t="s">
        <v>315</v>
      </c>
      <c r="D3" s="11" t="s">
        <v>316</v>
      </c>
      <c r="E3" s="11" t="s">
        <v>317</v>
      </c>
    </row>
    <row r="4" customFormat="false" ht="15" hidden="false" customHeight="true" outlineLevel="0" collapsed="false">
      <c r="A4" s="5" t="s">
        <v>300</v>
      </c>
      <c r="B4" s="5" t="n">
        <f aca="false">SUM(Monthly!B4:B15)</f>
        <v>45</v>
      </c>
      <c r="C4" s="5" t="n">
        <f aca="false">SUM(Monthly!B16:B27)</f>
        <v>96</v>
      </c>
      <c r="D4" s="5" t="n">
        <f aca="false">SUM(Monthly!B28:B39)</f>
        <v>96</v>
      </c>
      <c r="E4" s="1" t="n">
        <f aca="false">SUM(B4:D4)</f>
        <v>237</v>
      </c>
    </row>
    <row r="5" customFormat="false" ht="15" hidden="false" customHeight="true" outlineLevel="0" collapsed="false">
      <c r="A5" s="5" t="s">
        <v>318</v>
      </c>
      <c r="B5" s="5" t="n">
        <f aca="false">SUM(Monthly!C4:C15)</f>
        <v>0.24</v>
      </c>
      <c r="C5" s="5" t="n">
        <f aca="false">SUM(Monthly!C16:C27)</f>
        <v>5.28</v>
      </c>
      <c r="D5" s="5" t="n">
        <f aca="false">SUM(Monthly!C28:C39)</f>
        <v>7.68</v>
      </c>
      <c r="E5" s="1" t="n">
        <f aca="false">SUM(B5:D5)</f>
        <v>13.2</v>
      </c>
    </row>
    <row r="6" customFormat="false" ht="15" hidden="false" customHeight="true" outlineLevel="0" collapsed="false">
      <c r="A6" s="5" t="s">
        <v>319</v>
      </c>
      <c r="B6" s="5" t="n">
        <f aca="false">SUM(Monthly!D4:D15)</f>
        <v>0</v>
      </c>
      <c r="C6" s="5" t="n">
        <f aca="false">SUM(Monthly!D16:D27)</f>
        <v>3.36</v>
      </c>
      <c r="D6" s="5" t="n">
        <f aca="false">SUM(Monthly!D28:D39)</f>
        <v>15.36</v>
      </c>
      <c r="E6" s="1" t="n">
        <f aca="false">SUM(B6:D6)</f>
        <v>18.72</v>
      </c>
    </row>
    <row r="7" customFormat="false" ht="15" hidden="false" customHeight="true" outlineLevel="0" collapsed="false">
      <c r="A7" s="5" t="s">
        <v>320</v>
      </c>
      <c r="B7" s="5" t="n">
        <f aca="false">SUM(Monthly!E4:E15)</f>
        <v>0</v>
      </c>
      <c r="C7" s="5" t="n">
        <f aca="false">SUM(Monthly!E16:E27)</f>
        <v>0</v>
      </c>
      <c r="D7" s="5" t="n">
        <f aca="false">SUM(Monthly!E28:E39)</f>
        <v>21.6</v>
      </c>
      <c r="E7" s="1" t="n">
        <f aca="false">SUM(B7:D7)</f>
        <v>21.6</v>
      </c>
    </row>
    <row r="8" customFormat="false" ht="15" hidden="false" customHeight="true" outlineLevel="0" collapsed="false">
      <c r="A8" s="5" t="s">
        <v>310</v>
      </c>
      <c r="B8" s="5" t="n">
        <f aca="false">SUM(Monthly!M4:M15)</f>
        <v>135</v>
      </c>
      <c r="C8" s="5" t="n">
        <f aca="false">SUM(Monthly!M16:M27)</f>
        <v>288</v>
      </c>
      <c r="D8" s="5" t="n">
        <f aca="false">SUM(Monthly!M28:M39)</f>
        <v>288</v>
      </c>
      <c r="E8" s="1" t="n">
        <f aca="false">SUM(B8:D8)</f>
        <v>711</v>
      </c>
    </row>
    <row r="9" customFormat="false" ht="15" hidden="false" customHeight="true" outlineLevel="0" collapsed="false">
      <c r="A9" s="11" t="s">
        <v>321</v>
      </c>
      <c r="B9" s="44"/>
      <c r="C9" s="44"/>
      <c r="D9" s="44"/>
      <c r="E9" s="45"/>
    </row>
    <row r="10" customFormat="false" ht="15" hidden="false" customHeight="true" outlineLevel="0" collapsed="false">
      <c r="A10" s="5" t="s">
        <v>322</v>
      </c>
      <c r="B10" s="19" t="n">
        <f aca="false">(SUM(Monthly!C4:C15)*Assumptions!$E$46+SUM(Monthly!D4:D15)*Assumptions!$E$47+SUM(Monthly!E4:E15)*Assumptions!$E$48)*PerDeal!$B$9</f>
        <v>136777.611285</v>
      </c>
      <c r="C10" s="19" t="n">
        <f aca="false">(SUM(Monthly!C16:C27)*Assumptions!$E$46+SUM(Monthly!D16:D27)*Assumptions!$E$47+SUM(Monthly!E16:E27)*Assumptions!$E$48)*PerDeal!$B$9</f>
        <v>14498426.79621</v>
      </c>
      <c r="D10" s="19" t="n">
        <f aca="false">(SUM(Monthly!C28:C39)*Assumptions!$E$46+SUM(Monthly!D28:D39)*Assumptions!$E$47+SUM(Monthly!E28:E39)*Assumptions!$E$48)*PerDeal!$B$9</f>
        <v>138966053.06556</v>
      </c>
      <c r="E10" s="21" t="n">
        <f aca="false">SUM(B10:D10)</f>
        <v>153601257.473055</v>
      </c>
    </row>
    <row r="11" customFormat="false" ht="15" hidden="false" customHeight="true" outlineLevel="0" collapsed="false">
      <c r="A11" s="5" t="s">
        <v>323</v>
      </c>
      <c r="B11" s="19" t="n">
        <f aca="false">SUM(Monthly!L4:L15)</f>
        <v>0</v>
      </c>
      <c r="C11" s="19" t="n">
        <f aca="false">SUM(Monthly!L16:L27)</f>
        <v>1627994.277</v>
      </c>
      <c r="D11" s="19" t="n">
        <f aca="false">SUM(Monthly!L28:L39)</f>
        <v>14902409.151</v>
      </c>
      <c r="E11" s="21" t="n">
        <f aca="false">SUM(B11:D11)</f>
        <v>16530403.428</v>
      </c>
    </row>
    <row r="12" customFormat="false" ht="15" hidden="false" customHeight="true" outlineLevel="0" collapsed="false">
      <c r="A12" s="5" t="s">
        <v>324</v>
      </c>
      <c r="B12" s="19" t="n">
        <f aca="false">SUM(Monthly!C4:C15)*PerDeal!$C$57+SUM(Monthly!D4:D15)*PerDeal!$C$58+SUM(Monthly!E4:E15)*PerDeal!$C$59</f>
        <v>60985.702731477</v>
      </c>
      <c r="C12" s="19" t="n">
        <f aca="false">SUM(Monthly!C16:C27)*PerDeal!$C$57+SUM(Monthly!D16:D27)*PerDeal!$C$58+SUM(Monthly!E16:E27)*PerDeal!$C$59</f>
        <v>3242185.05981941</v>
      </c>
      <c r="D12" s="19" t="n">
        <f aca="false">SUM(Monthly!C28:C39)*PerDeal!$C$57+SUM(Monthly!D28:D39)*PerDeal!$C$58+SUM(Monthly!E28:E39)*PerDeal!$C$59</f>
        <v>33379369.7438125</v>
      </c>
      <c r="E12" s="21" t="n">
        <f aca="false">SUM(B12:D12)</f>
        <v>36682540.5063634</v>
      </c>
    </row>
    <row r="13" customFormat="false" ht="15" hidden="false" customHeight="true" outlineLevel="0" collapsed="false">
      <c r="A13" s="4" t="s">
        <v>325</v>
      </c>
      <c r="B13" s="27" t="n">
        <f aca="false">B10+B11+B12-SUM(Monthly!O4:O15)</f>
        <v>-60594.396188523</v>
      </c>
      <c r="C13" s="27" t="n">
        <f aca="false">C10+C11+C12-SUM(Monthly!O16:O27)</f>
        <v>15648255.1060774</v>
      </c>
      <c r="D13" s="27" t="n">
        <f aca="false">D10+D11+D12-SUM(Monthly!O28:O39)</f>
        <v>182287363.924437</v>
      </c>
      <c r="E13" s="27" t="n">
        <f aca="false">SUM(B13:D13)</f>
        <v>197875024.634325</v>
      </c>
    </row>
    <row r="14" customFormat="false" ht="15" hidden="false" customHeight="true" outlineLevel="0" collapsed="false">
      <c r="A14" s="5" t="s">
        <v>326</v>
      </c>
      <c r="B14" s="5" t="n">
        <f aca="false">SUM(Monthly!N4:N15)</f>
        <v>1</v>
      </c>
      <c r="C14" s="5" t="n">
        <f aca="false">SUM(Monthly!N16:N27)</f>
        <v>14.4</v>
      </c>
      <c r="D14" s="5" t="n">
        <f aca="false">SUM(Monthly!N28:N39)</f>
        <v>19.2</v>
      </c>
      <c r="E14" s="1" t="n">
        <f aca="false">SUM(B14:D14)</f>
        <v>34.6</v>
      </c>
    </row>
    <row r="15" customFormat="false" ht="15" hidden="false" customHeight="true" outlineLevel="0" collapsed="false">
      <c r="A15" s="11" t="s">
        <v>327</v>
      </c>
      <c r="B15" s="46" t="n">
        <f aca="false">-SUM(Monthly!O4:O15)</f>
        <v>-258357.710205</v>
      </c>
      <c r="C15" s="46" t="n">
        <f aca="false">-SUM(Monthly!O16:O27)</f>
        <v>-3720351.026952</v>
      </c>
      <c r="D15" s="46" t="n">
        <f aca="false">-SUM(Monthly!O28:O39)</f>
        <v>-4960468.035936</v>
      </c>
      <c r="E15" s="47" t="n">
        <f aca="false">SUM(B15:D15)</f>
        <v>-8939176.773093</v>
      </c>
    </row>
    <row r="16" customFormat="false" ht="15" hidden="false" customHeight="true" outlineLevel="0" collapsed="false">
      <c r="A16" s="5" t="s">
        <v>328</v>
      </c>
      <c r="B16" s="19" t="n">
        <f aca="false">SUM(Monthly!F4:F15)</f>
        <v>8623836.685881</v>
      </c>
      <c r="C16" s="19" t="n">
        <f aca="false">SUM(Monthly!F16:F27)</f>
        <v>18397518.2632128</v>
      </c>
      <c r="D16" s="19" t="n">
        <f aca="false">SUM(Monthly!F28:F39)</f>
        <v>18397518.2632128</v>
      </c>
      <c r="E16" s="21" t="n">
        <f aca="false">SUM(B16:D16)</f>
        <v>45418873.2123066</v>
      </c>
    </row>
    <row r="17" customFormat="false" ht="15" hidden="false" customHeight="true" outlineLevel="0" collapsed="false">
      <c r="A17" s="5" t="s">
        <v>329</v>
      </c>
      <c r="B17" s="19" t="n">
        <f aca="false">SUM(Monthly!G4:G15)</f>
        <v>27154.1282768588</v>
      </c>
      <c r="C17" s="19" t="n">
        <f aca="false">SUM(Monthly!G16:G27)</f>
        <v>1164702.33950421</v>
      </c>
      <c r="D17" s="19" t="n">
        <f aca="false">SUM(Monthly!G28:G39)</f>
        <v>13946085.4786904</v>
      </c>
      <c r="E17" s="21" t="n">
        <f aca="false">SUM(B17:D17)</f>
        <v>15137941.9464715</v>
      </c>
    </row>
    <row r="18" customFormat="false" ht="15" hidden="false" customHeight="true" outlineLevel="0" collapsed="false">
      <c r="A18" s="5" t="s">
        <v>330</v>
      </c>
      <c r="B18" s="48" t="n">
        <f aca="false">Assumptions!$B$31</f>
        <v>650000</v>
      </c>
      <c r="C18" s="48" t="n">
        <f aca="false">Assumptions!$B$32</f>
        <v>1500000</v>
      </c>
      <c r="D18" s="48" t="n">
        <f aca="false">Assumptions!$B$33</f>
        <v>2500000</v>
      </c>
      <c r="E18" s="21" t="n">
        <f aca="false">SUM(B18:D18)</f>
        <v>4650000</v>
      </c>
    </row>
    <row r="19" customFormat="false" ht="15" hidden="false" customHeight="true" outlineLevel="0" collapsed="false">
      <c r="A19" s="4" t="s">
        <v>331</v>
      </c>
      <c r="B19" s="27" t="n">
        <f aca="false">B16+B17-B18</f>
        <v>8000990.81415786</v>
      </c>
      <c r="C19" s="27" t="n">
        <f aca="false">C16+C17-C18</f>
        <v>18062220.602717</v>
      </c>
      <c r="D19" s="27" t="n">
        <f aca="false">D16+D17-D18</f>
        <v>29843603.7419032</v>
      </c>
      <c r="E19" s="27" t="n">
        <f aca="false">SUM(B19:D19)</f>
        <v>55906815.1587781</v>
      </c>
    </row>
    <row r="20" customFormat="false" ht="15" hidden="false" customHeight="true" outlineLevel="0" collapsed="false">
      <c r="A20" s="5" t="s">
        <v>332</v>
      </c>
      <c r="B20" s="49" t="n">
        <f aca="false">IF(B12=0,0,B17/B12)</f>
        <v>0.445254003162344</v>
      </c>
      <c r="C20" s="49" t="n">
        <f aca="false">IF(C12=0,0,C17/C12)</f>
        <v>0.359233763037907</v>
      </c>
      <c r="D20" s="49" t="n">
        <f aca="false">IF(D12=0,0,D17/D12)</f>
        <v>0.417805536345562</v>
      </c>
      <c r="E20" s="20" t="n">
        <f aca="false">IF(E12=0,0,E17/E12)</f>
        <v>0.412674306018839</v>
      </c>
    </row>
    <row r="21" customFormat="false" ht="15" hidden="false" customHeight="true" outlineLevel="0" collapsed="false">
      <c r="A21" s="3" t="s">
        <v>333</v>
      </c>
      <c r="B21" s="5"/>
      <c r="C21" s="5"/>
      <c r="D21" s="5"/>
    </row>
    <row r="22" customFormat="false" ht="15" hidden="false" customHeight="true" outlineLevel="0" collapsed="false">
      <c r="A22" s="3" t="s">
        <v>334</v>
      </c>
      <c r="B22" s="5"/>
      <c r="C22" s="5"/>
      <c r="D22" s="5"/>
    </row>
    <row r="23" customFormat="false" ht="15" hidden="false" customHeight="true" outlineLevel="0" collapsed="false">
      <c r="A23" s="5" t="s">
        <v>335</v>
      </c>
      <c r="B23" s="19" t="n">
        <f aca="false">SUM(Monthly!I4:I15)</f>
        <v>118942756.042781</v>
      </c>
      <c r="C23" s="19" t="n">
        <f aca="false">SUM(Monthly!I16:I27)</f>
        <v>253744546.2246</v>
      </c>
      <c r="D23" s="19" t="n">
        <f aca="false">SUM(Monthly!I28:I39)</f>
        <v>253744546.2246</v>
      </c>
      <c r="E23" s="21" t="n">
        <f aca="false">SUM(B23:D23)</f>
        <v>626431848.491981</v>
      </c>
    </row>
    <row r="24" customFormat="false" ht="15" hidden="false" customHeight="true" outlineLevel="0" collapsed="false">
      <c r="A24" s="5" t="s">
        <v>336</v>
      </c>
      <c r="B24" s="5" t="n">
        <f aca="false">SUM(Monthly!B4:B39)-SUM(Monthly!C4:C39)-SUM(Monthly!D4:D39)-SUM(Monthly!E4:E39)</f>
        <v>183.48</v>
      </c>
      <c r="C24" s="5"/>
      <c r="D24" s="5"/>
    </row>
    <row r="25" customFormat="false" ht="15" hidden="false" customHeight="true" outlineLevel="0" collapsed="false">
      <c r="A25" s="3" t="s">
        <v>337</v>
      </c>
      <c r="B25" s="5"/>
      <c r="C25" s="5"/>
      <c r="D25" s="5"/>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5" min="2" style="1" width="16"/>
  </cols>
  <sheetData>
    <row r="1" customFormat="false" ht="15" hidden="false" customHeight="true" outlineLevel="0" collapsed="false">
      <c r="A1" s="18" t="s">
        <v>338</v>
      </c>
    </row>
    <row r="2" customFormat="false" ht="15" hidden="false" customHeight="true" outlineLevel="0" collapsed="false">
      <c r="A2" s="3" t="s">
        <v>339</v>
      </c>
    </row>
    <row r="4" customFormat="false" ht="15" hidden="false" customHeight="true" outlineLevel="0" collapsed="false">
      <c r="A4" s="1" t="s">
        <v>340</v>
      </c>
      <c r="B4" s="7" t="n">
        <v>0.1</v>
      </c>
      <c r="C4" s="3" t="s">
        <v>341</v>
      </c>
    </row>
    <row r="6" customFormat="false" ht="15" hidden="false" customHeight="true" outlineLevel="0" collapsed="false">
      <c r="A6" s="11" t="s">
        <v>342</v>
      </c>
      <c r="B6" s="11" t="s">
        <v>343</v>
      </c>
      <c r="C6" s="11" t="s">
        <v>344</v>
      </c>
    </row>
    <row r="7" customFormat="false" ht="15" hidden="false" customHeight="true" outlineLevel="0" collapsed="false">
      <c r="A7" s="1" t="s">
        <v>345</v>
      </c>
      <c r="B7" s="20" t="n">
        <f aca="false">1/3</f>
        <v>0.333333333333333</v>
      </c>
      <c r="C7" s="20" t="n">
        <f aca="false">(1-$B$4)/3</f>
        <v>0.3</v>
      </c>
    </row>
    <row r="8" customFormat="false" ht="15" hidden="false" customHeight="true" outlineLevel="0" collapsed="false">
      <c r="A8" s="1" t="s">
        <v>346</v>
      </c>
      <c r="B8" s="20" t="n">
        <f aca="false">1/3</f>
        <v>0.333333333333333</v>
      </c>
      <c r="C8" s="20" t="n">
        <f aca="false">(1-$B$4)/3</f>
        <v>0.3</v>
      </c>
    </row>
    <row r="9" customFormat="false" ht="15" hidden="false" customHeight="true" outlineLevel="0" collapsed="false">
      <c r="A9" s="1" t="s">
        <v>347</v>
      </c>
      <c r="B9" s="20" t="n">
        <f aca="false">1/3</f>
        <v>0.333333333333333</v>
      </c>
      <c r="C9" s="20" t="n">
        <f aca="false">(1-$B$4)/3</f>
        <v>0.3</v>
      </c>
    </row>
    <row r="10" customFormat="false" ht="15" hidden="false" customHeight="true" outlineLevel="0" collapsed="false">
      <c r="A10" s="1" t="s">
        <v>348</v>
      </c>
      <c r="B10" s="20" t="n">
        <v>0</v>
      </c>
      <c r="C10" s="20" t="n">
        <f aca="false">$B$4</f>
        <v>0.1</v>
      </c>
    </row>
    <row r="11" customFormat="false" ht="15" hidden="false" customHeight="true" outlineLevel="0" collapsed="false">
      <c r="A11" s="4" t="s">
        <v>349</v>
      </c>
      <c r="B11" s="43" t="n">
        <f aca="false">SUM(B7:B10)</f>
        <v>1</v>
      </c>
      <c r="C11" s="43" t="n">
        <f aca="false">SUM(C7:C10)</f>
        <v>1</v>
      </c>
    </row>
    <row r="13" customFormat="false" ht="15" hidden="false" customHeight="true" outlineLevel="0" collapsed="false">
      <c r="A13" s="4" t="s">
        <v>350</v>
      </c>
    </row>
    <row r="14" customFormat="false" ht="15" hidden="false" customHeight="true" outlineLevel="0" collapsed="false">
      <c r="A14" s="11" t="s">
        <v>342</v>
      </c>
      <c r="B14" s="11" t="s">
        <v>314</v>
      </c>
      <c r="C14" s="11" t="s">
        <v>315</v>
      </c>
      <c r="D14" s="11" t="s">
        <v>316</v>
      </c>
    </row>
    <row r="15" customFormat="false" ht="15" hidden="false" customHeight="true" outlineLevel="0" collapsed="false">
      <c r="A15" s="1" t="s">
        <v>345</v>
      </c>
      <c r="B15" s="21" t="n">
        <f aca="false">$C$7*Annual!B19</f>
        <v>2400297.24424736</v>
      </c>
      <c r="C15" s="21" t="n">
        <f aca="false">$C$7*Annual!C19</f>
        <v>5418666.1808151</v>
      </c>
      <c r="D15" s="21" t="n">
        <f aca="false">$C$7*Annual!D19</f>
        <v>8953081.12257096</v>
      </c>
    </row>
    <row r="16" customFormat="false" ht="15" hidden="false" customHeight="true" outlineLevel="0" collapsed="false">
      <c r="A16" s="1" t="s">
        <v>346</v>
      </c>
      <c r="B16" s="21" t="n">
        <f aca="false">$C$8*Annual!B19</f>
        <v>2400297.24424736</v>
      </c>
      <c r="C16" s="21" t="n">
        <f aca="false">$C$8*Annual!C19</f>
        <v>5418666.1808151</v>
      </c>
      <c r="D16" s="21" t="n">
        <f aca="false">$C$8*Annual!D19</f>
        <v>8953081.12257096</v>
      </c>
    </row>
    <row r="17" customFormat="false" ht="15" hidden="false" customHeight="true" outlineLevel="0" collapsed="false">
      <c r="A17" s="1" t="s">
        <v>347</v>
      </c>
      <c r="B17" s="21" t="n">
        <f aca="false">$C$9*Annual!B19</f>
        <v>2400297.24424736</v>
      </c>
      <c r="C17" s="21" t="n">
        <f aca="false">$C$9*Annual!C19</f>
        <v>5418666.1808151</v>
      </c>
      <c r="D17" s="21" t="n">
        <f aca="false">$C$9*Annual!D19</f>
        <v>8953081.12257096</v>
      </c>
    </row>
    <row r="18" customFormat="false" ht="15" hidden="false" customHeight="true" outlineLevel="0" collapsed="false">
      <c r="A18" s="1" t="s">
        <v>348</v>
      </c>
      <c r="B18" s="21" t="n">
        <f aca="false">$C$10*Annual!B19</f>
        <v>800099.081415786</v>
      </c>
      <c r="C18" s="21" t="n">
        <f aca="false">$C$10*Annual!C19</f>
        <v>1806222.0602717</v>
      </c>
      <c r="D18" s="21" t="n">
        <f aca="false">$C$10*Annual!D19</f>
        <v>2984360.37419032</v>
      </c>
    </row>
    <row r="19" customFormat="false" ht="15" hidden="false" customHeight="true" outlineLevel="0" collapsed="false">
      <c r="A19" s="4" t="s">
        <v>351</v>
      </c>
      <c r="B19" s="27" t="n">
        <f aca="false">Annual!B19</f>
        <v>8000990.81415786</v>
      </c>
      <c r="C19" s="27" t="n">
        <f aca="false">Annual!C19</f>
        <v>18062220.602717</v>
      </c>
      <c r="D19" s="27" t="n">
        <f aca="false">Annual!D19</f>
        <v>29843603.7419032</v>
      </c>
    </row>
    <row r="21" customFormat="false" ht="15" hidden="false" customHeight="true" outlineLevel="0" collapsed="false">
      <c r="A21" s="3" t="s">
        <v>352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4" min="2" style="1" width="18"/>
  </cols>
  <sheetData>
    <row r="1" customFormat="false" ht="15.75" hidden="false" customHeight="true" outlineLevel="0" collapsed="false">
      <c r="A1" s="30" t="s">
        <v>353</v>
      </c>
    </row>
    <row r="2" customFormat="false" ht="15" hidden="false" customHeight="true" outlineLevel="0" collapsed="false">
      <c r="A2" s="3" t="s">
        <v>354</v>
      </c>
    </row>
    <row r="4" customFormat="false" ht="15" hidden="false" customHeight="true" outlineLevel="0" collapsed="false">
      <c r="A4" s="11" t="s">
        <v>355</v>
      </c>
      <c r="B4" s="11" t="s">
        <v>356</v>
      </c>
      <c r="C4" s="11" t="s">
        <v>357</v>
      </c>
      <c r="D4" s="11" t="s">
        <v>358</v>
      </c>
    </row>
    <row r="5" customFormat="false" ht="15" hidden="false" customHeight="true" outlineLevel="0" collapsed="false">
      <c r="A5" s="1" t="s">
        <v>359</v>
      </c>
      <c r="B5" s="15" t="n">
        <v>8</v>
      </c>
      <c r="C5" s="15" t="n">
        <v>4</v>
      </c>
      <c r="D5" s="15" t="n">
        <v>10</v>
      </c>
    </row>
    <row r="6" customFormat="false" ht="15" hidden="false" customHeight="true" outlineLevel="0" collapsed="false">
      <c r="A6" s="1" t="s">
        <v>360</v>
      </c>
      <c r="B6" s="7" t="n">
        <v>0.2</v>
      </c>
      <c r="C6" s="7" t="n">
        <v>0.3</v>
      </c>
      <c r="D6" s="7" t="n">
        <v>0.1</v>
      </c>
    </row>
    <row r="7" customFormat="false" ht="15" hidden="false" customHeight="true" outlineLevel="0" collapsed="false">
      <c r="A7" s="1" t="s">
        <v>361</v>
      </c>
      <c r="B7" s="25" t="n">
        <v>0.0725</v>
      </c>
      <c r="C7" s="25" t="n">
        <v>0.08</v>
      </c>
      <c r="D7" s="25" t="n">
        <v>0.065</v>
      </c>
    </row>
    <row r="8" customFormat="false" ht="15" hidden="false" customHeight="true" outlineLevel="0" collapsed="false">
      <c r="A8" s="3" t="s">
        <v>362</v>
      </c>
    </row>
    <row r="10" customFormat="false" ht="15" hidden="false" customHeight="true" outlineLevel="0" collapsed="false">
      <c r="A10" s="4" t="s">
        <v>363</v>
      </c>
    </row>
    <row r="11" customFormat="false" ht="15" hidden="false" customHeight="true" outlineLevel="0" collapsed="false">
      <c r="A11" s="11" t="s">
        <v>364</v>
      </c>
      <c r="B11" s="11" t="s">
        <v>356</v>
      </c>
      <c r="C11" s="11" t="s">
        <v>357</v>
      </c>
      <c r="D11" s="11" t="s">
        <v>358</v>
      </c>
    </row>
    <row r="12" customFormat="false" ht="15" hidden="false" customHeight="true" outlineLevel="0" collapsed="false">
      <c r="A12" s="1" t="s">
        <v>365</v>
      </c>
      <c r="B12" s="1" t="n">
        <f aca="false">(45+24*B$5)</f>
        <v>237</v>
      </c>
      <c r="C12" s="1" t="n">
        <f aca="false">(45+24*C$5)</f>
        <v>141</v>
      </c>
      <c r="D12" s="1" t="n">
        <f aca="false">(45+24*D$5)</f>
        <v>285</v>
      </c>
    </row>
    <row r="13" customFormat="false" ht="15" hidden="false" customHeight="true" outlineLevel="0" collapsed="false">
      <c r="A13" s="1" t="s">
        <v>366</v>
      </c>
      <c r="B13" s="1" t="n">
        <f aca="false">((1-$B$6)*Assumptions!$B$46*(45+15*B$5))+((1-$B$6)*Assumptions!$B$47*(45+9*B$5))+((1-$B$6)*Assumptions!$B$48*45)</f>
        <v>53.52</v>
      </c>
      <c r="C13" s="1" t="n">
        <f aca="false">((1-$B$6)*Assumptions!$B$46*(45+15*C$5))+((1-$B$6)*Assumptions!$B$47*(45+9*C$5))+((1-$B$6)*Assumptions!$B$48*45)</f>
        <v>42.96</v>
      </c>
      <c r="D13" s="1" t="n">
        <f aca="false">((1-$B$6)*Assumptions!$B$46*(45+15*D$5))+((1-$B$6)*Assumptions!$B$47*(45+9*D$5))+((1-$B$6)*Assumptions!$B$48*45)</f>
        <v>58.8</v>
      </c>
    </row>
    <row r="14" customFormat="false" ht="15" hidden="false" customHeight="true" outlineLevel="0" collapsed="false">
      <c r="A14" s="1" t="s">
        <v>367</v>
      </c>
      <c r="B14" s="1" t="n">
        <f aca="false">($B$6*(45+16*B$5))</f>
        <v>34.6</v>
      </c>
      <c r="C14" s="1" t="n">
        <f aca="false">($B$6*(45+16*C$5))</f>
        <v>21.8</v>
      </c>
      <c r="D14" s="1" t="n">
        <f aca="false">($B$6*(45+16*D$5))</f>
        <v>41</v>
      </c>
    </row>
    <row r="15" customFormat="false" ht="15" hidden="false" customHeight="true" outlineLevel="0" collapsed="false">
      <c r="A15" s="1" t="s">
        <v>368</v>
      </c>
      <c r="B15" s="21" t="n">
        <f aca="false">((45+24*B$5)*(PerDeal!$B$9*(Assumptions!$B$27+(1-Assumptions!$B$46)*(1-$B$6)*Assumptions!$B$28*Assumptions!$B$29)-Assumptions!$B$61+Assumptions!$B$60*Assumptions!$B$61))</f>
        <v>45418873.2123066</v>
      </c>
      <c r="C15" s="21" t="n">
        <f aca="false">((45+24*C$5)*(PerDeal!$B$9*(Assumptions!$B$27+(1-Assumptions!$B$46)*(1-$B$6)*Assumptions!$B$28*Assumptions!$B$29)-Assumptions!$B$61+Assumptions!$B$60*Assumptions!$B$61))</f>
        <v>27021354.9490938</v>
      </c>
      <c r="D15" s="21" t="n">
        <f aca="false">((45+24*D$5)*(PerDeal!$B$9*(Assumptions!$B$27+(1-Assumptions!$B$46)*(1-$B$6)*Assumptions!$B$28*Assumptions!$B$29)-Assumptions!$B$61+Assumptions!$B$60*Assumptions!$B$61))</f>
        <v>54617632.343913</v>
      </c>
    </row>
    <row r="16" customFormat="false" ht="15" hidden="false" customHeight="true" outlineLevel="0" collapsed="false">
      <c r="A16" s="1" t="s">
        <v>369</v>
      </c>
      <c r="B16" s="21" t="n">
        <f aca="false">(((1-$B$6)*Assumptions!$B$46*(45+15*B$5))*PerDeal!$B$57+((1-$B$6)*Assumptions!$B$47*(45+9*B$5))*PerDeal!$B$58+((1-$B$6)*Assumptions!$B$48*45)*PerDeal!$B$59)</f>
        <v>15137941.9464715</v>
      </c>
      <c r="C16" s="21" t="n">
        <f aca="false">(((1-$B$6)*Assumptions!$B$46*(45+15*C$5))*PerDeal!$B$57+((1-$B$6)*Assumptions!$B$47*(45+9*C$5))*PerDeal!$B$58+((1-$B$6)*Assumptions!$B$48*45)*PerDeal!$B$59)</f>
        <v>13622325.3510829</v>
      </c>
      <c r="D16" s="21" t="n">
        <f aca="false">(((1-$B$6)*Assumptions!$B$46*(45+15*D$5))*PerDeal!$B$57+((1-$B$6)*Assumptions!$B$47*(45+9*D$5))*PerDeal!$B$58+((1-$B$6)*Assumptions!$B$48*45)*PerDeal!$B$59)</f>
        <v>15895750.2441658</v>
      </c>
    </row>
    <row r="17" customFormat="false" ht="15" hidden="false" customHeight="true" outlineLevel="0" collapsed="false">
      <c r="A17" s="1" t="s">
        <v>370</v>
      </c>
      <c r="B17" s="27" t="n">
        <f aca="false">((45+24*B$5)*(PerDeal!$B$9*(Assumptions!$B$27+(1-Assumptions!$B$46)*(1-$B$6)*Assumptions!$B$28*Assumptions!$B$29)-Assumptions!$B$61+Assumptions!$B$60*Assumptions!$B$61))+(((1-$B$6)*Assumptions!$B$46*(45+15*B$5))*PerDeal!$B$57+((1-$B$6)*Assumptions!$B$47*(45+9*B$5))*PerDeal!$B$58+((1-$B$6)*Assumptions!$B$48*45)*PerDeal!$B$59)-(Assumptions!$B$31+Assumptions!$B$32+Assumptions!$B$33)</f>
        <v>55906815.1587781</v>
      </c>
      <c r="C17" s="27" t="n">
        <f aca="false">((45+24*C$5)*(PerDeal!$B$9*(Assumptions!$B$27+(1-Assumptions!$B$46)*(1-$B$6)*Assumptions!$B$28*Assumptions!$B$29)-Assumptions!$B$61+Assumptions!$B$60*Assumptions!$B$61))+(((1-$B$6)*Assumptions!$B$46*(45+15*C$5))*PerDeal!$B$57+((1-$B$6)*Assumptions!$B$47*(45+9*C$5))*PerDeal!$B$58+((1-$B$6)*Assumptions!$B$48*45)*PerDeal!$B$59)-(Assumptions!$B$31+Assumptions!$B$32+Assumptions!$B$33)</f>
        <v>35993680.3001767</v>
      </c>
      <c r="D17" s="27" t="n">
        <f aca="false">((45+24*D$5)*(PerDeal!$B$9*(Assumptions!$B$27+(1-Assumptions!$B$46)*(1-$B$6)*Assumptions!$B$28*Assumptions!$B$29)-Assumptions!$B$61+Assumptions!$B$60*Assumptions!$B$61))+(((1-$B$6)*Assumptions!$B$46*(45+15*D$5))*PerDeal!$B$57+((1-$B$6)*Assumptions!$B$47*(45+9*D$5))*PerDeal!$B$58+((1-$B$6)*Assumptions!$B$48*45)*PerDeal!$B$59)-(Assumptions!$B$31+Assumptions!$B$32+Assumptions!$B$33)</f>
        <v>65863382.5880788</v>
      </c>
    </row>
    <row r="18" customFormat="false" ht="15" hidden="false" customHeight="true" outlineLevel="0" collapsed="false">
      <c r="A18" s="1" t="s">
        <v>371</v>
      </c>
      <c r="B18" s="21" t="n">
        <f aca="false">(((1-$B$6)*Assumptions!$B$46*(45+15*B$5))*PerDeal!$C$57+((1-$B$6)*Assumptions!$B$47*(45+9*B$5))*PerDeal!$C$58+((1-$B$6)*Assumptions!$B$48*45)*PerDeal!$C$59)</f>
        <v>36682540.5063634</v>
      </c>
      <c r="C18" s="21" t="n">
        <f aca="false">(((1-$B$6)*Assumptions!$B$46*(45+15*C$5))*PerDeal!$C$57+((1-$B$6)*Assumptions!$B$47*(45+9*C$5))*PerDeal!$C$58+((1-$B$6)*Assumptions!$B$48*45)*PerDeal!$C$59)</f>
        <v>32204827.1379163</v>
      </c>
      <c r="D18" s="21" t="n">
        <f aca="false">(((1-$B$6)*Assumptions!$B$46*(45+15*D$5))*PerDeal!$C$57+((1-$B$6)*Assumptions!$B$47*(45+9*D$5))*PerDeal!$C$58+((1-$B$6)*Assumptions!$B$48*45)*PerDeal!$C$59)</f>
        <v>38921397.190587</v>
      </c>
    </row>
    <row r="19" customFormat="false" ht="15" hidden="false" customHeight="true" outlineLevel="0" collapsed="false">
      <c r="A19" s="3" t="s">
        <v>372</v>
      </c>
    </row>
    <row r="21" customFormat="false" ht="15" hidden="false" customHeight="true" outlineLevel="0" collapsed="false">
      <c r="A21" s="4" t="s">
        <v>373</v>
      </c>
    </row>
    <row r="22" customFormat="false" ht="15" hidden="false" customHeight="true" outlineLevel="0" collapsed="false">
      <c r="A22" s="11" t="s">
        <v>364</v>
      </c>
      <c r="B22" s="11" t="s">
        <v>356</v>
      </c>
      <c r="C22" s="11" t="s">
        <v>357</v>
      </c>
      <c r="D22" s="11" t="s">
        <v>358</v>
      </c>
    </row>
    <row r="23" customFormat="false" ht="15" hidden="false" customHeight="true" outlineLevel="0" collapsed="false">
      <c r="A23" s="1" t="s">
        <v>365</v>
      </c>
      <c r="B23" s="1" t="n">
        <f aca="false">(45+24*$B$5)</f>
        <v>237</v>
      </c>
      <c r="C23" s="1" t="n">
        <f aca="false">(45+24*$B$5)</f>
        <v>237</v>
      </c>
      <c r="D23" s="1" t="n">
        <f aca="false">(45+24*$B$5)</f>
        <v>237</v>
      </c>
    </row>
    <row r="24" customFormat="false" ht="15" hidden="false" customHeight="true" outlineLevel="0" collapsed="false">
      <c r="A24" s="1" t="s">
        <v>366</v>
      </c>
      <c r="B24" s="1" t="n">
        <f aca="false">((1-B$6)*Assumptions!$B$46*(45+15*$B$5))+((1-B$6)*Assumptions!$B$47*(45+9*$B$5))+((1-B$6)*Assumptions!$B$48*45)</f>
        <v>53.52</v>
      </c>
      <c r="C24" s="1" t="n">
        <f aca="false">((1-C$6)*Assumptions!$B$46*(45+15*$B$5))+((1-C$6)*Assumptions!$B$47*(45+9*$B$5))+((1-C$6)*Assumptions!$B$48*45)</f>
        <v>46.83</v>
      </c>
      <c r="D24" s="1" t="n">
        <f aca="false">((1-D$6)*Assumptions!$B$46*(45+15*$B$5))+((1-D$6)*Assumptions!$B$47*(45+9*$B$5))+((1-D$6)*Assumptions!$B$48*45)</f>
        <v>60.21</v>
      </c>
    </row>
    <row r="25" customFormat="false" ht="15" hidden="false" customHeight="true" outlineLevel="0" collapsed="false">
      <c r="A25" s="1" t="s">
        <v>367</v>
      </c>
      <c r="B25" s="1" t="n">
        <f aca="false">(B$6*(45+16*$B$5))</f>
        <v>34.6</v>
      </c>
      <c r="C25" s="1" t="n">
        <f aca="false">(C$6*(45+16*$B$5))</f>
        <v>51.9</v>
      </c>
      <c r="D25" s="1" t="n">
        <f aca="false">(D$6*(45+16*$B$5))</f>
        <v>17.3</v>
      </c>
    </row>
    <row r="26" customFormat="false" ht="15" hidden="false" customHeight="true" outlineLevel="0" collapsed="false">
      <c r="A26" s="1" t="s">
        <v>368</v>
      </c>
      <c r="B26" s="21" t="n">
        <f aca="false">((45+24*$B$5)*(PerDeal!$B$9*(Assumptions!$B$27+(1-Assumptions!$B$46)*(1-B$6)*Assumptions!$B$28*Assumptions!$B$29)-Assumptions!$B$61+Assumptions!$B$60*Assumptions!$B$61))</f>
        <v>45418873.2123066</v>
      </c>
      <c r="C26" s="21" t="n">
        <f aca="false">((45+24*$B$5)*(PerDeal!$B$9*(Assumptions!$B$27+(1-Assumptions!$B$46)*(1-C$6)*Assumptions!$B$28*Assumptions!$B$29)-Assumptions!$B$61+Assumptions!$B$60*Assumptions!$B$61))</f>
        <v>43473895.5798339</v>
      </c>
      <c r="D26" s="21" t="n">
        <f aca="false">((45+24*$B$5)*(PerDeal!$B$9*(Assumptions!$B$27+(1-Assumptions!$B$46)*(1-D$6)*Assumptions!$B$28*Assumptions!$B$29)-Assumptions!$B$61+Assumptions!$B$60*Assumptions!$B$61))</f>
        <v>47363850.8447793</v>
      </c>
    </row>
    <row r="27" customFormat="false" ht="15" hidden="false" customHeight="true" outlineLevel="0" collapsed="false">
      <c r="A27" s="1" t="s">
        <v>369</v>
      </c>
      <c r="B27" s="21" t="n">
        <f aca="false">(((1-B$6)*Assumptions!$B$46*(45+15*$B$5))*PerDeal!$B$57+((1-B$6)*Assumptions!$B$47*(45+9*$B$5))*PerDeal!$B$58+((1-B$6)*Assumptions!$B$48*45)*PerDeal!$B$59)</f>
        <v>15137941.9464715</v>
      </c>
      <c r="C27" s="21" t="n">
        <f aca="false">(((1-C$6)*Assumptions!$B$46*(45+15*$B$5))*PerDeal!$B$57+((1-C$6)*Assumptions!$B$47*(45+9*$B$5))*PerDeal!$B$58+((1-C$6)*Assumptions!$B$48*45)*PerDeal!$B$59)</f>
        <v>13245699.2031625</v>
      </c>
      <c r="D27" s="21" t="n">
        <f aca="false">(((1-D$6)*Assumptions!$B$46*(45+15*$B$5))*PerDeal!$B$57+((1-D$6)*Assumptions!$B$47*(45+9*$B$5))*PerDeal!$B$58+((1-D$6)*Assumptions!$B$48*45)*PerDeal!$B$59)</f>
        <v>17030184.6897804</v>
      </c>
    </row>
    <row r="28" customFormat="false" ht="15" hidden="false" customHeight="true" outlineLevel="0" collapsed="false">
      <c r="A28" s="1" t="s">
        <v>370</v>
      </c>
      <c r="B28" s="27" t="n">
        <f aca="false">((45+24*$B$5)*(PerDeal!$B$9*(Assumptions!$B$27+(1-Assumptions!$B$46)*(1-B$6)*Assumptions!$B$28*Assumptions!$B$29)-Assumptions!$B$61+Assumptions!$B$60*Assumptions!$B$61))+(((1-B$6)*Assumptions!$B$46*(45+15*$B$5))*PerDeal!$B$57+((1-B$6)*Assumptions!$B$47*(45+9*$B$5))*PerDeal!$B$58+((1-B$6)*Assumptions!$B$48*45)*PerDeal!$B$59)-(Assumptions!$B$31+Assumptions!$B$32+Assumptions!$B$33)</f>
        <v>55906815.1587781</v>
      </c>
      <c r="C28" s="27" t="n">
        <f aca="false">((45+24*$B$5)*(PerDeal!$B$9*(Assumptions!$B$27+(1-Assumptions!$B$46)*(1-C$6)*Assumptions!$B$28*Assumptions!$B$29)-Assumptions!$B$61+Assumptions!$B$60*Assumptions!$B$61))+(((1-C$6)*Assumptions!$B$46*(45+15*$B$5))*PerDeal!$B$57+((1-C$6)*Assumptions!$B$47*(45+9*$B$5))*PerDeal!$B$58+((1-C$6)*Assumptions!$B$48*45)*PerDeal!$B$59)-(Assumptions!$B$31+Assumptions!$B$32+Assumptions!$B$33)</f>
        <v>52069594.7829964</v>
      </c>
      <c r="D28" s="27" t="n">
        <f aca="false">((45+24*$B$5)*(PerDeal!$B$9*(Assumptions!$B$27+(1-Assumptions!$B$46)*(1-D$6)*Assumptions!$B$28*Assumptions!$B$29)-Assumptions!$B$61+Assumptions!$B$60*Assumptions!$B$61))+(((1-D$6)*Assumptions!$B$46*(45+15*$B$5))*PerDeal!$B$57+((1-D$6)*Assumptions!$B$47*(45+9*$B$5))*PerDeal!$B$58+((1-D$6)*Assumptions!$B$48*45)*PerDeal!$B$59)-(Assumptions!$B$31+Assumptions!$B$32+Assumptions!$B$33)</f>
        <v>59744035.5345597</v>
      </c>
    </row>
    <row r="29" customFormat="false" ht="15" hidden="false" customHeight="true" outlineLevel="0" collapsed="false">
      <c r="A29" s="1" t="s">
        <v>371</v>
      </c>
      <c r="B29" s="21" t="n">
        <f aca="false">(((1-B$6)*Assumptions!$B$46*(45+15*$B$5))*PerDeal!$C$57+((1-B$6)*Assumptions!$B$47*(45+9*$B$5))*PerDeal!$C$58+((1-B$6)*Assumptions!$B$48*45)*PerDeal!$C$59)</f>
        <v>36682540.5063634</v>
      </c>
      <c r="C29" s="21" t="n">
        <f aca="false">(((1-C$6)*Assumptions!$B$46*(45+15*$B$5))*PerDeal!$C$57+((1-C$6)*Assumptions!$B$47*(45+9*$B$5))*PerDeal!$C$58+((1-C$6)*Assumptions!$B$48*45)*PerDeal!$C$59)</f>
        <v>32097222.943068</v>
      </c>
      <c r="D29" s="21" t="n">
        <f aca="false">(((1-D$6)*Assumptions!$B$46*(45+15*$B$5))*PerDeal!$C$57+((1-D$6)*Assumptions!$B$47*(45+9*$B$5))*PerDeal!$C$58+((1-D$6)*Assumptions!$B$48*45)*PerDeal!$C$59)</f>
        <v>41267858.0696588</v>
      </c>
    </row>
    <row r="30" customFormat="false" ht="15" hidden="false" customHeight="true" outlineLevel="0" collapsed="false">
      <c r="A30" s="3" t="s">
        <v>374</v>
      </c>
    </row>
    <row r="32" customFormat="false" ht="15" hidden="false" customHeight="true" outlineLevel="0" collapsed="false">
      <c r="A32" s="4" t="s">
        <v>375</v>
      </c>
    </row>
    <row r="33" customFormat="false" ht="15" hidden="false" customHeight="true" outlineLevel="0" collapsed="false">
      <c r="A33" s="11" t="s">
        <v>364</v>
      </c>
      <c r="B33" s="11" t="s">
        <v>356</v>
      </c>
      <c r="C33" s="11" t="s">
        <v>357</v>
      </c>
      <c r="D33" s="11" t="s">
        <v>358</v>
      </c>
    </row>
    <row r="34" customFormat="false" ht="15" hidden="false" customHeight="true" outlineLevel="0" collapsed="false">
      <c r="A34" s="1" t="s">
        <v>178</v>
      </c>
      <c r="B34" s="21" t="n">
        <f aca="false">(PerDeal!$C$9/B$7)</f>
        <v>5035903.44827586</v>
      </c>
      <c r="C34" s="21" t="n">
        <f aca="false">(PerDeal!$C$9/C$7)</f>
        <v>4563787.5</v>
      </c>
      <c r="D34" s="21" t="n">
        <f aca="false">(PerDeal!$C$9/D$7)</f>
        <v>5616969.23076923</v>
      </c>
    </row>
    <row r="35" customFormat="false" ht="15" hidden="false" customHeight="true" outlineLevel="0" collapsed="false">
      <c r="A35" s="1" t="s">
        <v>376</v>
      </c>
      <c r="B35" s="21" t="n">
        <f aca="false">((PerDeal!$C$9/B$7)*(1-Assumptions!$B$25)-PerDeal!$B$9)</f>
        <v>1035089.21909483</v>
      </c>
      <c r="C35" s="21" t="n">
        <f aca="false">((PerDeal!$C$9/C$7)*(1-Assumptions!$B$25)-PerDeal!$B$9)</f>
        <v>581857.90875</v>
      </c>
      <c r="D35" s="21" t="n">
        <f aca="false">((PerDeal!$C$9/D$7)*(1-Assumptions!$B$25)-PerDeal!$B$9)</f>
        <v>1592912.37028846</v>
      </c>
    </row>
    <row r="36" customFormat="false" ht="15" hidden="false" customHeight="true" outlineLevel="0" collapsed="false">
      <c r="A36" s="1" t="s">
        <v>180</v>
      </c>
      <c r="B36" s="43" t="n">
        <f aca="false">(((PerDeal!$C$9/B$7)*(1-Assumptions!$B$25)-PerDeal!$B$9)-(IF(((PerDeal!$C$9/B$7)*(1-Assumptions!$B$25)-PerDeal!$B$9)&lt;=PerDeal!$H$9,0,(1-Assumptions!$B$23)*MIN(((PerDeal!$C$9/B$7)*(1-Assumptions!$B$25)-PerDeal!$B$9)-PerDeal!$H$9,MAX(Assumptions!$B$22*PerDeal!$B$9-PerDeal!$H$9,0)/Assumptions!$B$23)+(1-Assumptions!$B$24)*MAX(((PerDeal!$C$9/B$7)*(1-Assumptions!$B$25)-PerDeal!$B$9)-PerDeal!$H$9-MIN(((PerDeal!$C$9/B$7)*(1-Assumptions!$B$25)-PerDeal!$B$9)-PerDeal!$H$9,MAX(Assumptions!$B$22*PerDeal!$B$9-PerDeal!$H$9,0)/Assumptions!$B$23),0))))/PerDeal!$B$9</f>
        <v>0.227646814814068</v>
      </c>
      <c r="C36" s="43" t="n">
        <f aca="false">(((PerDeal!$C$9/C$7)*(1-Assumptions!$B$25)-PerDeal!$B$9)-(IF(((PerDeal!$C$9/C$7)*(1-Assumptions!$B$25)-PerDeal!$B$9)&lt;=PerDeal!$H$9,0,(1-Assumptions!$B$23)*MIN(((PerDeal!$C$9/C$7)*(1-Assumptions!$B$25)-PerDeal!$B$9)-PerDeal!$H$9,MAX(Assumptions!$B$22*PerDeal!$B$9-PerDeal!$H$9,0)/Assumptions!$B$23)+(1-Assumptions!$B$24)*MAX(((PerDeal!$C$9/C$7)*(1-Assumptions!$B$25)-PerDeal!$B$9)-PerDeal!$H$9-MIN(((PerDeal!$C$9/C$7)*(1-Assumptions!$B$25)-PerDeal!$B$9)-PerDeal!$H$9,MAX(Assumptions!$B$22*PerDeal!$B$9-PerDeal!$H$9,0)/Assumptions!$B$23),0))))/PerDeal!$B$9</f>
        <v>0.153145566136212</v>
      </c>
      <c r="D36" s="43" t="n">
        <f aca="false">(((PerDeal!$C$9/D$7)*(1-Assumptions!$B$25)-PerDeal!$B$9)-(IF(((PerDeal!$C$9/D$7)*(1-Assumptions!$B$25)-PerDeal!$B$9)&lt;=PerDeal!$H$9,0,(1-Assumptions!$B$23)*MIN(((PerDeal!$C$9/D$7)*(1-Assumptions!$B$25)-PerDeal!$B$9)-PerDeal!$H$9,MAX(Assumptions!$B$22*PerDeal!$B$9-PerDeal!$H$9,0)/Assumptions!$B$23)+(1-Assumptions!$B$24)*MAX(((PerDeal!$C$9/D$7)*(1-Assumptions!$B$25)-PerDeal!$B$9)-PerDeal!$H$9-MIN(((PerDeal!$C$9/D$7)*(1-Assumptions!$B$25)-PerDeal!$B$9)-PerDeal!$H$9,MAX(Assumptions!$B$22*PerDeal!$B$9-PerDeal!$H$9,0)/Assumptions!$B$23),0))))/PerDeal!$B$9</f>
        <v>0.301056612127779</v>
      </c>
    </row>
    <row r="37" customFormat="false" ht="15" hidden="false" customHeight="true" outlineLevel="0" collapsed="false">
      <c r="A37" s="1" t="s">
        <v>377</v>
      </c>
      <c r="B37" s="21" t="n">
        <f aca="false">IF(((PerDeal!$C$9/B$7)*(1-Assumptions!$B$25)-PerDeal!$B$9)&lt;=PerDeal!$H$9,0,(1-Assumptions!$B$23)*MIN(((PerDeal!$C$9/B$7)*(1-Assumptions!$B$25)-PerDeal!$B$9)-PerDeal!$H$9,MAX(Assumptions!$B$22*PerDeal!$B$9-PerDeal!$H$9,0)/Assumptions!$B$23)+(1-Assumptions!$B$24)*MAX(((PerDeal!$C$9/B$7)*(1-Assumptions!$B$25)-PerDeal!$B$9)-PerDeal!$H$9-MIN(((PerDeal!$C$9/B$7)*(1-Assumptions!$B$25)-PerDeal!$B$9)-PerDeal!$H$9,MAX(Assumptions!$B$22*PerDeal!$B$9-PerDeal!$H$9,0)/Assumptions!$B$23),0))</f>
        <v>170172.898347414</v>
      </c>
      <c r="C37" s="21" t="n">
        <f aca="false">IF(((PerDeal!$C$9/C$7)*(1-Assumptions!$B$25)-PerDeal!$B$9)&lt;=PerDeal!$H$9,0,(1-Assumptions!$B$23)*MIN(((PerDeal!$C$9/C$7)*(1-Assumptions!$B$25)-PerDeal!$B$9)-PerDeal!$H$9,MAX(Assumptions!$B$22*PerDeal!$B$9-PerDeal!$H$9,0)/Assumptions!$B$23)+(1-Assumptions!$B$24)*MAX(((PerDeal!$C$9/C$7)*(1-Assumptions!$B$25)-PerDeal!$B$9)-PerDeal!$H$9-MIN(((PerDeal!$C$9/C$7)*(1-Assumptions!$B$25)-PerDeal!$B$9)-PerDeal!$H$9,MAX(Assumptions!$B$22*PerDeal!$B$9-PerDeal!$H$9,0)/Assumptions!$B$23),0))</f>
        <v>0</v>
      </c>
      <c r="D37" s="21" t="n">
        <f aca="false">IF(((PerDeal!$C$9/D$7)*(1-Assumptions!$B$25)-PerDeal!$B$9)&lt;=PerDeal!$H$9,0,(1-Assumptions!$B$23)*MIN(((PerDeal!$C$9/D$7)*(1-Assumptions!$B$25)-PerDeal!$B$9)-PerDeal!$H$9,MAX(Assumptions!$B$22*PerDeal!$B$9-PerDeal!$H$9,0)/Assumptions!$B$23)+(1-Assumptions!$B$24)*MAX(((PerDeal!$C$9/D$7)*(1-Assumptions!$B$25)-PerDeal!$B$9)-PerDeal!$H$9-MIN(((PerDeal!$C$9/D$7)*(1-Assumptions!$B$25)-PerDeal!$B$9)-PerDeal!$H$9,MAX(Assumptions!$B$22*PerDeal!$B$9-PerDeal!$H$9,0)/Assumptions!$B$23),0))</f>
        <v>449084.473944231</v>
      </c>
    </row>
    <row r="38" customFormat="false" ht="15" hidden="false" customHeight="true" outlineLevel="0" collapsed="false">
      <c r="A38" s="1" t="s">
        <v>378</v>
      </c>
      <c r="B38" s="20" t="n">
        <f aca="false">B36-$B$36</f>
        <v>0</v>
      </c>
      <c r="C38" s="20" t="n">
        <f aca="false">C36-$B$36</f>
        <v>-0.0745012486778559</v>
      </c>
      <c r="D38" s="20" t="n">
        <f aca="false">D36-$B$36</f>
        <v>0.0734097973137112</v>
      </c>
    </row>
    <row r="40" customFormat="false" ht="15" hidden="false" customHeight="true" outlineLevel="0" collapsed="false">
      <c r="A40" s="3" t="s">
        <v>379</v>
      </c>
    </row>
    <row r="42" customFormat="false" ht="15" hidden="false" customHeight="true" outlineLevel="0" collapsed="false">
      <c r="A42" s="3" t="s">
        <v>380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2026-07-21T22:57:28Z</dcterms:created>
  <dc:creator>openpyxl</dc:creator>
  <dc:description/>
  <dc:language>en-US</dc:language>
  <cp:lastModifiedBy/>
  <dcterms:modified xsi:type="dcterms:W3CDTF">2026-07-22T07:35:36Z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